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defaultThemeVersion="124226"/>
  <mc:AlternateContent xmlns:mc="http://schemas.openxmlformats.org/markup-compatibility/2006">
    <mc:Choice Requires="x15">
      <x15ac:absPath xmlns:x15ac="http://schemas.microsoft.com/office/spreadsheetml/2010/11/ac" url="/Users/fallonmar/Desktop/AVP-PR Working Files/Programs/Electrical Engineering BS/"/>
    </mc:Choice>
  </mc:AlternateContent>
  <xr:revisionPtr revIDLastSave="0" documentId="13_ncr:1_{5E20FFE8-1E21-3D4C-A28D-D948EE8A7B73}" xr6:coauthVersionLast="45" xr6:coauthVersionMax="45" xr10:uidLastSave="{00000000-0000-0000-0000-000000000000}"/>
  <bookViews>
    <workbookView xWindow="25780" yWindow="460" windowWidth="21880" windowHeight="23640" tabRatio="356" activeTab="2" xr2:uid="{00000000-000D-0000-FFFF-FFFF00000000}"/>
  </bookViews>
  <sheets>
    <sheet name="BOR Table" sheetId="6" r:id="rId1"/>
    <sheet name="Enrollment and Revenue" sheetId="7" r:id="rId2"/>
    <sheet name="Staffing " sheetId="4" r:id="rId3"/>
    <sheet name="FY18 &amp; FY19" sheetId="2" r:id="rId4"/>
    <sheet name="ESTIMATED REVENUE - old" sheetId="3" r:id="rId5"/>
  </sheets>
  <definedNames>
    <definedName name="_xlnm.Print_Area" localSheetId="4">'ESTIMATED REVENUE - old'!$A$1:$M$42</definedName>
    <definedName name="_xlnm.Print_Area" localSheetId="2">'Staffing '!$A$1:$Y$30</definedName>
    <definedName name="_xlnm.Print_Titles" localSheetId="3">'FY18 &amp; FY19'!$4:$6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3" i="6" l="1"/>
  <c r="D23" i="6"/>
  <c r="B23" i="6"/>
  <c r="E60" i="4"/>
  <c r="D60" i="4"/>
  <c r="C60" i="4"/>
  <c r="E59" i="4"/>
  <c r="B59" i="4"/>
  <c r="B58" i="4"/>
  <c r="S18" i="4" l="1"/>
  <c r="B64" i="4"/>
  <c r="C18" i="4"/>
  <c r="C21" i="4" s="1"/>
  <c r="I18" i="4"/>
  <c r="I21" i="4" s="1"/>
  <c r="L18" i="4"/>
  <c r="N18" i="4"/>
  <c r="K18" i="4"/>
  <c r="H18" i="4"/>
  <c r="E18" i="4"/>
  <c r="N17" i="4"/>
  <c r="L23" i="4" s="1"/>
  <c r="K17" i="4"/>
  <c r="I23" i="4" s="1"/>
  <c r="H17" i="4"/>
  <c r="F23" i="4" s="1"/>
  <c r="E17" i="4"/>
  <c r="C23" i="4" s="1"/>
  <c r="N36" i="7"/>
  <c r="M36" i="7"/>
  <c r="T36" i="7"/>
  <c r="S36" i="7"/>
  <c r="T38" i="7"/>
  <c r="S38" i="7"/>
  <c r="N38" i="7"/>
  <c r="M38" i="7"/>
  <c r="H38" i="7"/>
  <c r="G38" i="7"/>
  <c r="T30" i="7"/>
  <c r="S30" i="7"/>
  <c r="N30" i="7"/>
  <c r="M30" i="7"/>
  <c r="H30" i="7"/>
  <c r="G30" i="7"/>
  <c r="L21" i="4" l="1"/>
  <c r="B26" i="6"/>
  <c r="S29" i="4" l="1"/>
  <c r="E25" i="4" s="1"/>
  <c r="H25" i="4"/>
  <c r="V30" i="4"/>
  <c r="V29" i="4"/>
  <c r="B48" i="4"/>
  <c r="B49" i="4" s="1"/>
  <c r="H64" i="4"/>
  <c r="S15" i="6"/>
  <c r="R15" i="6"/>
  <c r="Q15" i="6"/>
  <c r="P15" i="6"/>
  <c r="O15" i="6"/>
  <c r="M15" i="6"/>
  <c r="L15" i="6"/>
  <c r="K15" i="6"/>
  <c r="J15" i="6"/>
  <c r="I15" i="6"/>
  <c r="G15" i="6"/>
  <c r="F15" i="6"/>
  <c r="E15" i="6"/>
  <c r="D15" i="6"/>
  <c r="C15" i="6"/>
  <c r="B15" i="6"/>
  <c r="S14" i="6"/>
  <c r="G14" i="6"/>
  <c r="F14" i="6"/>
  <c r="S13" i="6"/>
  <c r="R13" i="6"/>
  <c r="M13" i="6"/>
  <c r="L13" i="6"/>
  <c r="G13" i="6"/>
  <c r="F13" i="6"/>
  <c r="G12" i="6"/>
  <c r="F12" i="6"/>
  <c r="R14" i="6"/>
  <c r="M14" i="6"/>
  <c r="L14" i="6"/>
  <c r="O39" i="7"/>
  <c r="N15" i="6" s="1"/>
  <c r="I39" i="7"/>
  <c r="H15" i="6" s="1"/>
  <c r="R38" i="7"/>
  <c r="Q14" i="6" s="1"/>
  <c r="Q38" i="7"/>
  <c r="P14" i="6" s="1"/>
  <c r="R37" i="7"/>
  <c r="Q13" i="6" s="1"/>
  <c r="K37" i="7"/>
  <c r="J13" i="6" s="1"/>
  <c r="J38" i="7"/>
  <c r="I14" i="6" s="1"/>
  <c r="C37" i="7"/>
  <c r="B13" i="6" s="1"/>
  <c r="C38" i="7"/>
  <c r="B14" i="6" s="1"/>
  <c r="S12" i="6"/>
  <c r="M12" i="6"/>
  <c r="L12" i="6"/>
  <c r="R31" i="7"/>
  <c r="R30" i="7"/>
  <c r="Q30" i="7"/>
  <c r="P31" i="7"/>
  <c r="P30" i="7"/>
  <c r="O30" i="7"/>
  <c r="O36" i="7" s="1"/>
  <c r="N12" i="6" s="1"/>
  <c r="L31" i="7"/>
  <c r="L37" i="7" s="1"/>
  <c r="K13" i="6" s="1"/>
  <c r="L30" i="7"/>
  <c r="K30" i="7"/>
  <c r="J31" i="7"/>
  <c r="J30" i="7"/>
  <c r="I30" i="7"/>
  <c r="F31" i="7"/>
  <c r="F30" i="7"/>
  <c r="E30" i="7"/>
  <c r="E36" i="7" s="1"/>
  <c r="D12" i="6" s="1"/>
  <c r="C30" i="7"/>
  <c r="D31" i="7"/>
  <c r="D30" i="7"/>
  <c r="D36" i="7" s="1"/>
  <c r="C12" i="6" s="1"/>
  <c r="S6" i="6"/>
  <c r="R6" i="6"/>
  <c r="N6" i="6"/>
  <c r="S5" i="6"/>
  <c r="R5" i="6"/>
  <c r="Q5" i="6"/>
  <c r="N5" i="6"/>
  <c r="S4" i="6"/>
  <c r="R4" i="6"/>
  <c r="M6" i="6"/>
  <c r="L6" i="6"/>
  <c r="K6" i="6"/>
  <c r="J6" i="6"/>
  <c r="I6" i="6"/>
  <c r="M5" i="6"/>
  <c r="L5" i="6"/>
  <c r="M4" i="6"/>
  <c r="L4" i="6"/>
  <c r="I4" i="6"/>
  <c r="H5" i="6"/>
  <c r="H4" i="6"/>
  <c r="G6" i="6"/>
  <c r="F6" i="6"/>
  <c r="E6" i="6"/>
  <c r="D6" i="6"/>
  <c r="C6" i="6"/>
  <c r="G5" i="6"/>
  <c r="F5" i="6"/>
  <c r="G4" i="6"/>
  <c r="F4" i="6"/>
  <c r="B4" i="6"/>
  <c r="R18" i="7"/>
  <c r="Q6" i="6" s="1"/>
  <c r="Q18" i="7"/>
  <c r="P6" i="6" s="1"/>
  <c r="P18" i="7"/>
  <c r="O6" i="6" s="1"/>
  <c r="O18" i="7"/>
  <c r="R17" i="7"/>
  <c r="R36" i="7" s="1"/>
  <c r="Q12" i="6" s="1"/>
  <c r="Q17" i="7"/>
  <c r="P5" i="6" s="1"/>
  <c r="P17" i="7"/>
  <c r="O5" i="6" s="1"/>
  <c r="O17" i="7"/>
  <c r="R16" i="7"/>
  <c r="Q4" i="6" s="1"/>
  <c r="Q16" i="7"/>
  <c r="Q37" i="7" s="1"/>
  <c r="P13" i="6" s="1"/>
  <c r="P16" i="7"/>
  <c r="O4" i="6" s="1"/>
  <c r="O16" i="7"/>
  <c r="O37" i="7" s="1"/>
  <c r="N13" i="6" s="1"/>
  <c r="L18" i="7"/>
  <c r="K18" i="7"/>
  <c r="J18" i="7"/>
  <c r="I18" i="7"/>
  <c r="H6" i="6" s="1"/>
  <c r="L17" i="7"/>
  <c r="K5" i="6" s="1"/>
  <c r="K17" i="7"/>
  <c r="J5" i="6" s="1"/>
  <c r="J17" i="7"/>
  <c r="I5" i="6" s="1"/>
  <c r="I17" i="7"/>
  <c r="I36" i="7" s="1"/>
  <c r="H12" i="6" s="1"/>
  <c r="L16" i="7"/>
  <c r="K4" i="6" s="1"/>
  <c r="K16" i="7"/>
  <c r="J4" i="6" s="1"/>
  <c r="J16" i="7"/>
  <c r="J37" i="7" s="1"/>
  <c r="I13" i="6" s="1"/>
  <c r="I16" i="7"/>
  <c r="I37" i="7" s="1"/>
  <c r="H13" i="6" s="1"/>
  <c r="F18" i="7"/>
  <c r="E18" i="7"/>
  <c r="D18" i="7"/>
  <c r="F17" i="7"/>
  <c r="E5" i="6" s="1"/>
  <c r="E17" i="7"/>
  <c r="D5" i="6" s="1"/>
  <c r="D17" i="7"/>
  <c r="C5" i="6" s="1"/>
  <c r="F16" i="7"/>
  <c r="F37" i="7" s="1"/>
  <c r="E13" i="6" s="1"/>
  <c r="E16" i="7"/>
  <c r="D4" i="6" s="1"/>
  <c r="D16" i="7"/>
  <c r="C4" i="6" s="1"/>
  <c r="C18" i="7"/>
  <c r="B6" i="6" s="1"/>
  <c r="C17" i="7"/>
  <c r="C36" i="7" s="1"/>
  <c r="B12" i="6" s="1"/>
  <c r="C16" i="7"/>
  <c r="H27" i="7"/>
  <c r="G27" i="7"/>
  <c r="G28" i="7" s="1"/>
  <c r="F8" i="6" s="1"/>
  <c r="N27" i="7"/>
  <c r="M27" i="7"/>
  <c r="M28" i="7" s="1"/>
  <c r="L8" i="6" s="1"/>
  <c r="S27" i="7"/>
  <c r="T26" i="7"/>
  <c r="T27" i="7" s="1"/>
  <c r="S26" i="7"/>
  <c r="N26" i="7"/>
  <c r="M26" i="7"/>
  <c r="H26" i="7"/>
  <c r="G26" i="7"/>
  <c r="R26" i="7"/>
  <c r="P26" i="7"/>
  <c r="L26" i="7"/>
  <c r="R25" i="7"/>
  <c r="Q25" i="7"/>
  <c r="P25" i="7"/>
  <c r="O25" i="7"/>
  <c r="R24" i="7"/>
  <c r="Q24" i="7"/>
  <c r="Q26" i="7" s="1"/>
  <c r="Q27" i="7" s="1"/>
  <c r="P24" i="7"/>
  <c r="O24" i="7"/>
  <c r="O26" i="7" s="1"/>
  <c r="O27" i="7" s="1"/>
  <c r="O28" i="7" s="1"/>
  <c r="N8" i="6" s="1"/>
  <c r="L24" i="7"/>
  <c r="K24" i="7"/>
  <c r="J24" i="7"/>
  <c r="I24" i="7"/>
  <c r="R23" i="7"/>
  <c r="Q23" i="7"/>
  <c r="P23" i="7"/>
  <c r="O23" i="7"/>
  <c r="L23" i="7"/>
  <c r="K23" i="7"/>
  <c r="K26" i="7" s="1"/>
  <c r="K27" i="7" s="1"/>
  <c r="K28" i="7" s="1"/>
  <c r="J8" i="6" s="1"/>
  <c r="J23" i="7"/>
  <c r="J26" i="7" s="1"/>
  <c r="I23" i="7"/>
  <c r="I26" i="7" s="1"/>
  <c r="I27" i="7" s="1"/>
  <c r="F23" i="7"/>
  <c r="F26" i="7" s="1"/>
  <c r="E23" i="7"/>
  <c r="E26" i="7" s="1"/>
  <c r="E27" i="7" s="1"/>
  <c r="D23" i="7"/>
  <c r="D26" i="7" s="1"/>
  <c r="C23" i="7"/>
  <c r="C26" i="7" s="1"/>
  <c r="C27" i="7" s="1"/>
  <c r="T21" i="7"/>
  <c r="S21" i="7"/>
  <c r="R21" i="7"/>
  <c r="R27" i="7" s="1"/>
  <c r="Q21" i="7"/>
  <c r="P21" i="7"/>
  <c r="P27" i="7" s="1"/>
  <c r="O21" i="7"/>
  <c r="O38" i="7" s="1"/>
  <c r="N14" i="6" s="1"/>
  <c r="N21" i="7"/>
  <c r="M21" i="7"/>
  <c r="L21" i="7"/>
  <c r="L27" i="7" s="1"/>
  <c r="K21" i="7"/>
  <c r="K38" i="7" s="1"/>
  <c r="J14" i="6" s="1"/>
  <c r="J21" i="7"/>
  <c r="J27" i="7" s="1"/>
  <c r="I21" i="7"/>
  <c r="I38" i="7" s="1"/>
  <c r="H14" i="6" s="1"/>
  <c r="H21" i="7"/>
  <c r="G21" i="7"/>
  <c r="F21" i="7"/>
  <c r="F38" i="7" s="1"/>
  <c r="E14" i="6" s="1"/>
  <c r="E21" i="7"/>
  <c r="E38" i="7" s="1"/>
  <c r="D14" i="6" s="1"/>
  <c r="D21" i="7"/>
  <c r="D27" i="7" s="1"/>
  <c r="C21" i="7"/>
  <c r="H63" i="4"/>
  <c r="G63" i="4"/>
  <c r="F63" i="4"/>
  <c r="E63" i="4"/>
  <c r="D63" i="4"/>
  <c r="C63" i="4"/>
  <c r="B39" i="4"/>
  <c r="B37" i="4"/>
  <c r="B36" i="4"/>
  <c r="B35" i="4"/>
  <c r="B33" i="4"/>
  <c r="B34" i="4"/>
  <c r="Q28" i="7" l="1"/>
  <c r="P8" i="6" s="1"/>
  <c r="B40" i="4"/>
  <c r="B41" i="4" s="1"/>
  <c r="B44" i="4" s="1"/>
  <c r="D56" i="4" s="1"/>
  <c r="K25" i="4"/>
  <c r="N25" i="4"/>
  <c r="C64" i="4"/>
  <c r="B51" i="4"/>
  <c r="C53" i="4" s="1"/>
  <c r="B65" i="4"/>
  <c r="H65" i="4" s="1"/>
  <c r="S7" i="6"/>
  <c r="C28" i="7"/>
  <c r="B8" i="6" s="1"/>
  <c r="S28" i="7"/>
  <c r="R8" i="6" s="1"/>
  <c r="I28" i="7"/>
  <c r="H8" i="6" s="1"/>
  <c r="K36" i="7"/>
  <c r="J12" i="6" s="1"/>
  <c r="D37" i="7"/>
  <c r="C13" i="6" s="1"/>
  <c r="D38" i="7"/>
  <c r="C14" i="6" s="1"/>
  <c r="B25" i="6" s="1"/>
  <c r="H7" i="6"/>
  <c r="E4" i="6"/>
  <c r="E7" i="6" s="1"/>
  <c r="F36" i="7"/>
  <c r="E12" i="6" s="1"/>
  <c r="L38" i="7"/>
  <c r="K14" i="6" s="1"/>
  <c r="D25" i="6" s="1"/>
  <c r="N4" i="6"/>
  <c r="N7" i="6" s="1"/>
  <c r="E37" i="7"/>
  <c r="D13" i="6" s="1"/>
  <c r="B5" i="6"/>
  <c r="P4" i="6"/>
  <c r="P36" i="7"/>
  <c r="O12" i="6" s="1"/>
  <c r="D64" i="4"/>
  <c r="F27" i="7"/>
  <c r="E28" i="7" s="1"/>
  <c r="D8" i="6" s="1"/>
  <c r="P37" i="7"/>
  <c r="O13" i="6" s="1"/>
  <c r="L36" i="7"/>
  <c r="K12" i="6" s="1"/>
  <c r="E64" i="4"/>
  <c r="J36" i="7"/>
  <c r="I12" i="6" s="1"/>
  <c r="P38" i="7"/>
  <c r="O14" i="6" s="1"/>
  <c r="F25" i="6" s="1"/>
  <c r="F64" i="4"/>
  <c r="G64" i="4"/>
  <c r="Q36" i="7"/>
  <c r="P12" i="6" s="1"/>
  <c r="R12" i="6"/>
  <c r="O7" i="6"/>
  <c r="I7" i="6"/>
  <c r="J7" i="6"/>
  <c r="K7" i="6"/>
  <c r="Q7" i="6"/>
  <c r="L7" i="6"/>
  <c r="R7" i="6"/>
  <c r="M7" i="6"/>
  <c r="P7" i="6"/>
  <c r="F7" i="6"/>
  <c r="G7" i="6"/>
  <c r="C7" i="6"/>
  <c r="B7" i="6"/>
  <c r="D7" i="6"/>
  <c r="C65" i="4" l="1"/>
  <c r="E65" i="4"/>
  <c r="D53" i="4"/>
  <c r="E53" i="4" s="1"/>
  <c r="F26" i="6"/>
  <c r="D26" i="6"/>
  <c r="G65" i="4"/>
  <c r="D65" i="4"/>
  <c r="F65" i="4"/>
  <c r="B16" i="6"/>
  <c r="C40" i="7"/>
  <c r="I40" i="7"/>
  <c r="H16" i="6"/>
  <c r="N16" i="6"/>
  <c r="O40" i="7"/>
  <c r="E44" i="4"/>
  <c r="F20" i="6" s="1"/>
  <c r="D44" i="4"/>
  <c r="C44" i="4"/>
  <c r="D20" i="6" l="1"/>
  <c r="B20" i="6"/>
  <c r="BM40" i="2"/>
  <c r="BR40" i="2" s="1"/>
  <c r="BM38" i="2"/>
  <c r="BM43" i="2" s="1"/>
  <c r="BR38" i="2"/>
  <c r="BR26" i="2"/>
  <c r="BR24" i="2"/>
  <c r="BR35" i="2" s="1"/>
  <c r="BR12" i="2"/>
  <c r="BR10" i="2"/>
  <c r="BR86" i="2"/>
  <c r="BR84" i="2"/>
  <c r="BR74" i="2"/>
  <c r="BR72" i="2"/>
  <c r="BR81" i="2" s="1"/>
  <c r="BR62" i="2"/>
  <c r="BR60" i="2"/>
  <c r="BR69" i="2" s="1"/>
  <c r="BL92" i="2"/>
  <c r="BL91" i="2"/>
  <c r="BL90" i="2"/>
  <c r="BM89" i="2"/>
  <c r="BM93" i="2" s="1"/>
  <c r="BL88" i="2"/>
  <c r="BL87" i="2"/>
  <c r="BL86" i="2"/>
  <c r="BL85" i="2"/>
  <c r="BL84" i="2"/>
  <c r="BL80" i="2"/>
  <c r="BL79" i="2"/>
  <c r="BL78" i="2"/>
  <c r="BM77" i="2"/>
  <c r="BM81" i="2" s="1"/>
  <c r="BL76" i="2"/>
  <c r="BL75" i="2"/>
  <c r="BL74" i="2"/>
  <c r="BL73" i="2"/>
  <c r="BL72" i="2"/>
  <c r="BL68" i="2"/>
  <c r="BL67" i="2"/>
  <c r="BL66" i="2"/>
  <c r="BM65" i="2"/>
  <c r="BM69" i="2" s="1"/>
  <c r="BL64" i="2"/>
  <c r="BL63" i="2"/>
  <c r="BL62" i="2"/>
  <c r="BL61" i="2"/>
  <c r="BL60" i="2"/>
  <c r="BL48" i="2"/>
  <c r="BL47" i="2"/>
  <c r="BL46" i="2"/>
  <c r="BL44" i="2"/>
  <c r="BL42" i="2"/>
  <c r="BL41" i="2"/>
  <c r="BL40" i="2"/>
  <c r="BL39" i="2"/>
  <c r="BL38" i="2"/>
  <c r="BL34" i="2"/>
  <c r="BL33" i="2"/>
  <c r="BL32" i="2"/>
  <c r="BL30" i="2"/>
  <c r="BM29" i="2"/>
  <c r="BM31" i="2" s="1"/>
  <c r="BL28" i="2"/>
  <c r="BL27" i="2"/>
  <c r="BL26" i="2"/>
  <c r="BL25" i="2"/>
  <c r="BL24" i="2"/>
  <c r="BL20" i="2"/>
  <c r="BL19" i="2"/>
  <c r="BL18" i="2"/>
  <c r="BL16" i="2"/>
  <c r="BM15" i="2"/>
  <c r="BL14" i="2"/>
  <c r="BL13" i="2"/>
  <c r="BL12" i="2"/>
  <c r="BL11" i="2"/>
  <c r="BL10" i="2"/>
  <c r="BR93" i="2" l="1"/>
  <c r="BR49" i="2"/>
  <c r="BR21" i="2"/>
  <c r="B5" i="3" s="1"/>
  <c r="BM35" i="2"/>
  <c r="BM45" i="2"/>
  <c r="BM17" i="2"/>
  <c r="B4" i="3" s="1"/>
  <c r="BM21" i="2" l="1"/>
  <c r="BM49" i="2"/>
  <c r="V26" i="4"/>
  <c r="V25" i="4"/>
  <c r="S25" i="4" s="1"/>
  <c r="I26" i="4" l="1"/>
  <c r="L26" i="4"/>
  <c r="C26" i="4"/>
  <c r="O23" i="4"/>
  <c r="O18" i="4"/>
  <c r="O26" i="4" s="1"/>
  <c r="F18" i="4"/>
  <c r="L17" i="4"/>
  <c r="F17" i="4"/>
  <c r="C17" i="4"/>
  <c r="Q7" i="4"/>
  <c r="O17" i="4"/>
  <c r="O20" i="4" s="1"/>
  <c r="Q6" i="4"/>
  <c r="F20" i="4" l="1"/>
  <c r="F25" i="4"/>
  <c r="L20" i="4"/>
  <c r="L25" i="4"/>
  <c r="L28" i="4" s="1"/>
  <c r="E40" i="3" s="1"/>
  <c r="F26" i="4"/>
  <c r="F21" i="4"/>
  <c r="C20" i="4"/>
  <c r="C25" i="4"/>
  <c r="Q8" i="4"/>
  <c r="D22" i="6"/>
  <c r="O25" i="4"/>
  <c r="O28" i="4" s="1"/>
  <c r="B22" i="6"/>
  <c r="I17" i="4"/>
  <c r="C20" i="3"/>
  <c r="D20" i="3"/>
  <c r="E20" i="3"/>
  <c r="F20" i="3"/>
  <c r="G20" i="3"/>
  <c r="B20" i="3"/>
  <c r="I20" i="4" l="1"/>
  <c r="I25" i="4"/>
  <c r="I28" i="4" s="1"/>
  <c r="F21" i="6" s="1"/>
  <c r="F28" i="4"/>
  <c r="D21" i="6" s="1"/>
  <c r="D28" i="6" s="1"/>
  <c r="F22" i="6"/>
  <c r="C28" i="4"/>
  <c r="BQ40" i="2"/>
  <c r="BQ62" i="2"/>
  <c r="BQ74" i="2"/>
  <c r="BQ86" i="2"/>
  <c r="BP86" i="2"/>
  <c r="BP84" i="2"/>
  <c r="BP93" i="2" s="1"/>
  <c r="BP74" i="2"/>
  <c r="BP72" i="2"/>
  <c r="BP62" i="2"/>
  <c r="BP60" i="2"/>
  <c r="BP69" i="2" s="1"/>
  <c r="BP40" i="2"/>
  <c r="BP38" i="2"/>
  <c r="BP49" i="2" s="1"/>
  <c r="BQ26" i="2"/>
  <c r="BP26" i="2"/>
  <c r="BP24" i="2"/>
  <c r="BP35" i="2" s="1"/>
  <c r="BQ12" i="2"/>
  <c r="BP12" i="2"/>
  <c r="D40" i="3" l="1"/>
  <c r="C40" i="3"/>
  <c r="B40" i="3"/>
  <c r="B21" i="6"/>
  <c r="B28" i="6" s="1"/>
  <c r="F28" i="6"/>
  <c r="BP81" i="2"/>
  <c r="BP10" i="2"/>
  <c r="BP21" i="2" s="1"/>
  <c r="BQ84" i="2" l="1"/>
  <c r="BQ93" i="2" s="1"/>
  <c r="BQ72" i="2"/>
  <c r="BQ60" i="2"/>
  <c r="BQ38" i="2"/>
  <c r="BQ49" i="2" s="1"/>
  <c r="BQ24" i="2"/>
  <c r="BQ35" i="2" s="1"/>
  <c r="BQ10" i="2"/>
  <c r="BQ21" i="2" s="1"/>
  <c r="C22" i="3" l="1"/>
  <c r="G5" i="3"/>
  <c r="B22" i="3"/>
  <c r="F5" i="3"/>
  <c r="C5" i="3"/>
  <c r="E5" i="3"/>
  <c r="H5" i="3"/>
  <c r="L5" i="3"/>
  <c r="D5" i="3"/>
  <c r="G22" i="3"/>
  <c r="K5" i="3"/>
  <c r="F22" i="3"/>
  <c r="J5" i="3"/>
  <c r="M5" i="3"/>
  <c r="E22" i="3"/>
  <c r="I5" i="3"/>
  <c r="D22" i="3"/>
  <c r="BQ81" i="2"/>
  <c r="BQ69" i="2"/>
  <c r="B9" i="3" s="1"/>
  <c r="E10" i="2"/>
  <c r="H10" i="2"/>
  <c r="K10" i="2"/>
  <c r="N10" i="2"/>
  <c r="Q10" i="2"/>
  <c r="T10" i="2"/>
  <c r="W10" i="2"/>
  <c r="Z10" i="2"/>
  <c r="AC10" i="2"/>
  <c r="AF10" i="2"/>
  <c r="AI10" i="2"/>
  <c r="AL10" i="2"/>
  <c r="AO10" i="2"/>
  <c r="AR10" i="2"/>
  <c r="AU10" i="2"/>
  <c r="AX10" i="2"/>
  <c r="BA10" i="2"/>
  <c r="E11" i="2"/>
  <c r="H11" i="2"/>
  <c r="K11" i="2"/>
  <c r="N11" i="2"/>
  <c r="Q11" i="2"/>
  <c r="T11" i="2"/>
  <c r="W11" i="2"/>
  <c r="Z11" i="2"/>
  <c r="AC11" i="2"/>
  <c r="AF11" i="2"/>
  <c r="AI11" i="2"/>
  <c r="AL11" i="2"/>
  <c r="AO11" i="2"/>
  <c r="AR11" i="2"/>
  <c r="AU11" i="2"/>
  <c r="AX11" i="2"/>
  <c r="BA11" i="2"/>
  <c r="C12" i="2"/>
  <c r="C15" i="2" s="1"/>
  <c r="C17" i="2" s="1"/>
  <c r="C21" i="2" s="1"/>
  <c r="F12" i="2"/>
  <c r="F15" i="2" s="1"/>
  <c r="F17" i="2" s="1"/>
  <c r="F21" i="2" s="1"/>
  <c r="I12" i="2"/>
  <c r="L12" i="2"/>
  <c r="K12" i="2" s="1"/>
  <c r="O12" i="2"/>
  <c r="O15" i="2" s="1"/>
  <c r="O17" i="2" s="1"/>
  <c r="R12" i="2"/>
  <c r="R15" i="2" s="1"/>
  <c r="U12" i="2"/>
  <c r="X12" i="2"/>
  <c r="X15" i="2" s="1"/>
  <c r="X17" i="2" s="1"/>
  <c r="X21" i="2" s="1"/>
  <c r="AA12" i="2"/>
  <c r="AD12" i="2"/>
  <c r="AF12" i="2" s="1"/>
  <c r="AI12" i="2"/>
  <c r="AL12" i="2"/>
  <c r="AO12" i="2"/>
  <c r="AR12" i="2"/>
  <c r="AU12" i="2"/>
  <c r="AX12" i="2"/>
  <c r="BA12" i="2"/>
  <c r="E13" i="2"/>
  <c r="H13" i="2"/>
  <c r="K13" i="2"/>
  <c r="N13" i="2"/>
  <c r="Q13" i="2"/>
  <c r="T13" i="2"/>
  <c r="W13" i="2"/>
  <c r="Z13" i="2"/>
  <c r="AC13" i="2"/>
  <c r="AF13" i="2"/>
  <c r="AI13" i="2"/>
  <c r="AL13" i="2"/>
  <c r="AO13" i="2"/>
  <c r="AR13" i="2"/>
  <c r="AU13" i="2"/>
  <c r="AX13" i="2"/>
  <c r="BA13" i="2"/>
  <c r="E14" i="2"/>
  <c r="H14" i="2"/>
  <c r="K14" i="2"/>
  <c r="N14" i="2"/>
  <c r="Q14" i="2"/>
  <c r="T14" i="2"/>
  <c r="W14" i="2"/>
  <c r="Z14" i="2"/>
  <c r="AC14" i="2"/>
  <c r="AF14" i="2"/>
  <c r="AI14" i="2"/>
  <c r="AL14" i="2"/>
  <c r="AO14" i="2"/>
  <c r="AR14" i="2"/>
  <c r="AU14" i="2"/>
  <c r="AX14" i="2"/>
  <c r="BA14" i="2"/>
  <c r="AG15" i="2"/>
  <c r="AJ15" i="2"/>
  <c r="AJ17" i="2" s="1"/>
  <c r="AJ21" i="2" s="1"/>
  <c r="AM15" i="2"/>
  <c r="AM17" i="2" s="1"/>
  <c r="AP15" i="2"/>
  <c r="AP17" i="2" s="1"/>
  <c r="AS15" i="2"/>
  <c r="AV15" i="2"/>
  <c r="AV17" i="2" s="1"/>
  <c r="AY15" i="2"/>
  <c r="BB15" i="2"/>
  <c r="BB17" i="2" s="1"/>
  <c r="BB21" i="2" s="1"/>
  <c r="E16" i="2"/>
  <c r="H16" i="2"/>
  <c r="K16" i="2"/>
  <c r="N16" i="2"/>
  <c r="Q16" i="2"/>
  <c r="T16" i="2"/>
  <c r="W16" i="2"/>
  <c r="Z16" i="2"/>
  <c r="AC16" i="2"/>
  <c r="AF16" i="2"/>
  <c r="AI16" i="2"/>
  <c r="AL16" i="2"/>
  <c r="AO16" i="2"/>
  <c r="AR16" i="2"/>
  <c r="AU16" i="2"/>
  <c r="AX16" i="2"/>
  <c r="BA16" i="2"/>
  <c r="E18" i="2"/>
  <c r="H18" i="2"/>
  <c r="K18" i="2"/>
  <c r="N18" i="2"/>
  <c r="Q18" i="2"/>
  <c r="T18" i="2"/>
  <c r="W18" i="2"/>
  <c r="Z18" i="2"/>
  <c r="AC18" i="2"/>
  <c r="AF18" i="2"/>
  <c r="AI18" i="2"/>
  <c r="AL18" i="2"/>
  <c r="AO18" i="2"/>
  <c r="AR18" i="2"/>
  <c r="AU18" i="2"/>
  <c r="AX18" i="2"/>
  <c r="BA18" i="2"/>
  <c r="E19" i="2"/>
  <c r="H19" i="2"/>
  <c r="K19" i="2"/>
  <c r="N19" i="2"/>
  <c r="Q19" i="2"/>
  <c r="T19" i="2"/>
  <c r="W19" i="2"/>
  <c r="Z19" i="2"/>
  <c r="AC19" i="2"/>
  <c r="AF19" i="2"/>
  <c r="AI19" i="2"/>
  <c r="AL19" i="2"/>
  <c r="AO19" i="2"/>
  <c r="AR19" i="2"/>
  <c r="AU19" i="2"/>
  <c r="AX19" i="2"/>
  <c r="BA19" i="2"/>
  <c r="E20" i="2"/>
  <c r="H20" i="2"/>
  <c r="K20" i="2"/>
  <c r="N20" i="2"/>
  <c r="Q20" i="2"/>
  <c r="T20" i="2"/>
  <c r="W20" i="2"/>
  <c r="Z20" i="2"/>
  <c r="AC20" i="2"/>
  <c r="AF20" i="2"/>
  <c r="AI20" i="2"/>
  <c r="AL20" i="2"/>
  <c r="AO20" i="2"/>
  <c r="AR20" i="2"/>
  <c r="AU20" i="2"/>
  <c r="AX20" i="2"/>
  <c r="BA20" i="2"/>
  <c r="E24" i="2"/>
  <c r="H24" i="2"/>
  <c r="K24" i="2"/>
  <c r="N24" i="2"/>
  <c r="Q24" i="2"/>
  <c r="T24" i="2"/>
  <c r="W24" i="2"/>
  <c r="Z24" i="2"/>
  <c r="AC24" i="2"/>
  <c r="AF24" i="2"/>
  <c r="AI24" i="2"/>
  <c r="AL24" i="2"/>
  <c r="AO24" i="2"/>
  <c r="AR24" i="2"/>
  <c r="AU24" i="2"/>
  <c r="AX24" i="2"/>
  <c r="BA24" i="2"/>
  <c r="E25" i="2"/>
  <c r="H25" i="2"/>
  <c r="K25" i="2"/>
  <c r="N25" i="2"/>
  <c r="Q25" i="2"/>
  <c r="T25" i="2"/>
  <c r="W25" i="2"/>
  <c r="Z25" i="2"/>
  <c r="AC25" i="2"/>
  <c r="AF25" i="2"/>
  <c r="AI25" i="2"/>
  <c r="AL25" i="2"/>
  <c r="AO25" i="2"/>
  <c r="AR25" i="2"/>
  <c r="AU25" i="2"/>
  <c r="AX25" i="2"/>
  <c r="BA25" i="2"/>
  <c r="C26" i="2"/>
  <c r="F26" i="2"/>
  <c r="I26" i="2"/>
  <c r="H26" i="2" s="1"/>
  <c r="L26" i="2"/>
  <c r="L29" i="2" s="1"/>
  <c r="L31" i="2" s="1"/>
  <c r="L35" i="2" s="1"/>
  <c r="O26" i="2"/>
  <c r="O29" i="2" s="1"/>
  <c r="O31" i="2" s="1"/>
  <c r="O35" i="2" s="1"/>
  <c r="R26" i="2"/>
  <c r="R29" i="2" s="1"/>
  <c r="R31" i="2" s="1"/>
  <c r="U26" i="2"/>
  <c r="X26" i="2"/>
  <c r="X29" i="2" s="1"/>
  <c r="X31" i="2" s="1"/>
  <c r="X35" i="2" s="1"/>
  <c r="AA26" i="2"/>
  <c r="AD26" i="2"/>
  <c r="AF26" i="2" s="1"/>
  <c r="AI26" i="2"/>
  <c r="AL26" i="2"/>
  <c r="AO26" i="2"/>
  <c r="AR26" i="2"/>
  <c r="AU26" i="2"/>
  <c r="AX26" i="2"/>
  <c r="BA26" i="2"/>
  <c r="E27" i="2"/>
  <c r="H27" i="2"/>
  <c r="K27" i="2"/>
  <c r="N27" i="2"/>
  <c r="Q27" i="2"/>
  <c r="T27" i="2"/>
  <c r="W27" i="2"/>
  <c r="Z27" i="2"/>
  <c r="AC27" i="2"/>
  <c r="AF27" i="2"/>
  <c r="AI27" i="2"/>
  <c r="AL27" i="2"/>
  <c r="AO27" i="2"/>
  <c r="AR27" i="2"/>
  <c r="AU27" i="2"/>
  <c r="AX27" i="2"/>
  <c r="BA27" i="2"/>
  <c r="E28" i="2"/>
  <c r="H28" i="2"/>
  <c r="K28" i="2"/>
  <c r="N28" i="2"/>
  <c r="Q28" i="2"/>
  <c r="T28" i="2"/>
  <c r="W28" i="2"/>
  <c r="Z28" i="2"/>
  <c r="AC28" i="2"/>
  <c r="AF28" i="2"/>
  <c r="AI28" i="2"/>
  <c r="AL28" i="2"/>
  <c r="AO28" i="2"/>
  <c r="AR28" i="2"/>
  <c r="AU28" i="2"/>
  <c r="AX28" i="2"/>
  <c r="BA28" i="2"/>
  <c r="C29" i="2"/>
  <c r="C31" i="2" s="1"/>
  <c r="C35" i="2" s="1"/>
  <c r="F29" i="2"/>
  <c r="F31" i="2" s="1"/>
  <c r="AG29" i="2"/>
  <c r="AJ29" i="2"/>
  <c r="AJ31" i="2" s="1"/>
  <c r="AJ35" i="2" s="1"/>
  <c r="AM29" i="2"/>
  <c r="AM31" i="2" s="1"/>
  <c r="AP29" i="2"/>
  <c r="AP31" i="2" s="1"/>
  <c r="AS29" i="2"/>
  <c r="AV29" i="2"/>
  <c r="AV31" i="2" s="1"/>
  <c r="AV35" i="2" s="1"/>
  <c r="AY29" i="2"/>
  <c r="AY31" i="2" s="1"/>
  <c r="BB29" i="2"/>
  <c r="BB31" i="2" s="1"/>
  <c r="E30" i="2"/>
  <c r="H30" i="2"/>
  <c r="K30" i="2"/>
  <c r="N30" i="2"/>
  <c r="Q30" i="2"/>
  <c r="T30" i="2"/>
  <c r="W30" i="2"/>
  <c r="Z30" i="2"/>
  <c r="AC30" i="2"/>
  <c r="AF30" i="2"/>
  <c r="AI30" i="2"/>
  <c r="AL30" i="2"/>
  <c r="AO30" i="2"/>
  <c r="AR30" i="2"/>
  <c r="AU30" i="2"/>
  <c r="AX30" i="2"/>
  <c r="BA30" i="2"/>
  <c r="E32" i="2"/>
  <c r="H32" i="2"/>
  <c r="K32" i="2"/>
  <c r="N32" i="2"/>
  <c r="Q32" i="2"/>
  <c r="T32" i="2"/>
  <c r="W32" i="2"/>
  <c r="Z32" i="2"/>
  <c r="AC32" i="2"/>
  <c r="AF32" i="2"/>
  <c r="AI32" i="2"/>
  <c r="AL32" i="2"/>
  <c r="AO32" i="2"/>
  <c r="AR32" i="2"/>
  <c r="AU32" i="2"/>
  <c r="AY32" i="2"/>
  <c r="AX32" i="2" s="1"/>
  <c r="E33" i="2"/>
  <c r="H33" i="2"/>
  <c r="K33" i="2"/>
  <c r="N33" i="2"/>
  <c r="Q33" i="2"/>
  <c r="T33" i="2"/>
  <c r="W33" i="2"/>
  <c r="Z33" i="2"/>
  <c r="AC33" i="2"/>
  <c r="AF33" i="2"/>
  <c r="AI33" i="2"/>
  <c r="AL33" i="2"/>
  <c r="AO33" i="2"/>
  <c r="AR33" i="2"/>
  <c r="AU33" i="2"/>
  <c r="AY33" i="2"/>
  <c r="AX33" i="2" s="1"/>
  <c r="E34" i="2"/>
  <c r="H34" i="2"/>
  <c r="K34" i="2"/>
  <c r="N34" i="2"/>
  <c r="Q34" i="2"/>
  <c r="T34" i="2"/>
  <c r="W34" i="2"/>
  <c r="Z34" i="2"/>
  <c r="AC34" i="2"/>
  <c r="AF34" i="2"/>
  <c r="AI34" i="2"/>
  <c r="AL34" i="2"/>
  <c r="AO34" i="2"/>
  <c r="AR34" i="2"/>
  <c r="AU34" i="2"/>
  <c r="AX34" i="2"/>
  <c r="BA34" i="2"/>
  <c r="E38" i="2"/>
  <c r="H38" i="2"/>
  <c r="K38" i="2"/>
  <c r="N38" i="2"/>
  <c r="Q38" i="2"/>
  <c r="T38" i="2"/>
  <c r="W38" i="2"/>
  <c r="Z38" i="2"/>
  <c r="AC38" i="2"/>
  <c r="AF38" i="2"/>
  <c r="AI38" i="2"/>
  <c r="AL38" i="2"/>
  <c r="AO38" i="2"/>
  <c r="AR38" i="2"/>
  <c r="AU38" i="2"/>
  <c r="AX38" i="2"/>
  <c r="BA38" i="2"/>
  <c r="E39" i="2"/>
  <c r="H39" i="2"/>
  <c r="K39" i="2"/>
  <c r="N39" i="2"/>
  <c r="Q39" i="2"/>
  <c r="T39" i="2"/>
  <c r="W39" i="2"/>
  <c r="Z39" i="2"/>
  <c r="AC39" i="2"/>
  <c r="AF39" i="2"/>
  <c r="AI39" i="2"/>
  <c r="AL39" i="2"/>
  <c r="AO39" i="2"/>
  <c r="AR39" i="2"/>
  <c r="AU39" i="2"/>
  <c r="AX39" i="2"/>
  <c r="BA39" i="2"/>
  <c r="C40" i="2"/>
  <c r="C43" i="2" s="1"/>
  <c r="C45" i="2" s="1"/>
  <c r="C49" i="2" s="1"/>
  <c r="F40" i="2"/>
  <c r="I40" i="2"/>
  <c r="I43" i="2" s="1"/>
  <c r="I45" i="2" s="1"/>
  <c r="I49" i="2" s="1"/>
  <c r="L40" i="2"/>
  <c r="O40" i="2"/>
  <c r="R40" i="2"/>
  <c r="U40" i="2"/>
  <c r="U43" i="2" s="1"/>
  <c r="U45" i="2" s="1"/>
  <c r="U49" i="2" s="1"/>
  <c r="X40" i="2"/>
  <c r="AA40" i="2"/>
  <c r="AA43" i="2" s="1"/>
  <c r="AA45" i="2" s="1"/>
  <c r="AA49" i="2" s="1"/>
  <c r="AD40" i="2"/>
  <c r="AF40" i="2" s="1"/>
  <c r="AI40" i="2"/>
  <c r="AL40" i="2"/>
  <c r="AO40" i="2"/>
  <c r="AR40" i="2"/>
  <c r="AU40" i="2"/>
  <c r="AX40" i="2"/>
  <c r="BA40" i="2"/>
  <c r="E41" i="2"/>
  <c r="H41" i="2"/>
  <c r="K41" i="2"/>
  <c r="N41" i="2"/>
  <c r="Q41" i="2"/>
  <c r="T41" i="2"/>
  <c r="W41" i="2"/>
  <c r="Z41" i="2"/>
  <c r="AC41" i="2"/>
  <c r="AF41" i="2"/>
  <c r="AI41" i="2"/>
  <c r="AL41" i="2"/>
  <c r="AO41" i="2"/>
  <c r="AR41" i="2"/>
  <c r="AU41" i="2"/>
  <c r="AX41" i="2"/>
  <c r="BA41" i="2"/>
  <c r="E42" i="2"/>
  <c r="H42" i="2"/>
  <c r="K42" i="2"/>
  <c r="N42" i="2"/>
  <c r="Q42" i="2"/>
  <c r="T42" i="2"/>
  <c r="W42" i="2"/>
  <c r="Z42" i="2"/>
  <c r="AC42" i="2"/>
  <c r="AF42" i="2"/>
  <c r="AI42" i="2"/>
  <c r="AL42" i="2"/>
  <c r="AO42" i="2"/>
  <c r="AR42" i="2"/>
  <c r="AU42" i="2"/>
  <c r="AX42" i="2"/>
  <c r="BA42" i="2"/>
  <c r="L43" i="2"/>
  <c r="O43" i="2"/>
  <c r="O45" i="2" s="1"/>
  <c r="O49" i="2" s="1"/>
  <c r="AG43" i="2"/>
  <c r="AG45" i="2" s="1"/>
  <c r="AJ43" i="2"/>
  <c r="AJ45" i="2" s="1"/>
  <c r="AJ49" i="2" s="1"/>
  <c r="AM43" i="2"/>
  <c r="AM45" i="2" s="1"/>
  <c r="AM49" i="2" s="1"/>
  <c r="AP43" i="2"/>
  <c r="AS43" i="2"/>
  <c r="AS45" i="2" s="1"/>
  <c r="AS49" i="2" s="1"/>
  <c r="AV43" i="2"/>
  <c r="AV45" i="2" s="1"/>
  <c r="AV49" i="2" s="1"/>
  <c r="AY43" i="2"/>
  <c r="AY45" i="2" s="1"/>
  <c r="BB43" i="2"/>
  <c r="E44" i="2"/>
  <c r="H44" i="2"/>
  <c r="K44" i="2"/>
  <c r="N44" i="2"/>
  <c r="Q44" i="2"/>
  <c r="T44" i="2"/>
  <c r="W44" i="2"/>
  <c r="Z44" i="2"/>
  <c r="AC44" i="2"/>
  <c r="AF44" i="2"/>
  <c r="AI44" i="2"/>
  <c r="AL44" i="2"/>
  <c r="AO44" i="2"/>
  <c r="AR44" i="2"/>
  <c r="AU44" i="2"/>
  <c r="AX44" i="2"/>
  <c r="BA44" i="2"/>
  <c r="E46" i="2"/>
  <c r="H46" i="2"/>
  <c r="K46" i="2"/>
  <c r="N46" i="2"/>
  <c r="Q46" i="2"/>
  <c r="T46" i="2"/>
  <c r="W46" i="2"/>
  <c r="Z46" i="2"/>
  <c r="AC46" i="2"/>
  <c r="AF46" i="2"/>
  <c r="AI46" i="2"/>
  <c r="AL46" i="2"/>
  <c r="AO46" i="2"/>
  <c r="AR46" i="2"/>
  <c r="AU46" i="2"/>
  <c r="AY46" i="2"/>
  <c r="AX46" i="2" s="1"/>
  <c r="E47" i="2"/>
  <c r="H47" i="2"/>
  <c r="K47" i="2"/>
  <c r="N47" i="2"/>
  <c r="Q47" i="2"/>
  <c r="T47" i="2"/>
  <c r="W47" i="2"/>
  <c r="Z47" i="2"/>
  <c r="AC47" i="2"/>
  <c r="AF47" i="2"/>
  <c r="AI47" i="2"/>
  <c r="AL47" i="2"/>
  <c r="AO47" i="2"/>
  <c r="AR47" i="2"/>
  <c r="AU47" i="2"/>
  <c r="AY47" i="2"/>
  <c r="AX47" i="2" s="1"/>
  <c r="BA47" i="2"/>
  <c r="E48" i="2"/>
  <c r="H48" i="2"/>
  <c r="K48" i="2"/>
  <c r="N48" i="2"/>
  <c r="Q48" i="2"/>
  <c r="T48" i="2"/>
  <c r="W48" i="2"/>
  <c r="Z48" i="2"/>
  <c r="AC48" i="2"/>
  <c r="AF48" i="2"/>
  <c r="AI48" i="2"/>
  <c r="AL48" i="2"/>
  <c r="AO48" i="2"/>
  <c r="AR48" i="2"/>
  <c r="AU48" i="2"/>
  <c r="AY48" i="2"/>
  <c r="BA48" i="2" s="1"/>
  <c r="E60" i="2"/>
  <c r="H60" i="2"/>
  <c r="K60" i="2"/>
  <c r="N60" i="2"/>
  <c r="Q60" i="2"/>
  <c r="T60" i="2"/>
  <c r="W60" i="2"/>
  <c r="Z60" i="2"/>
  <c r="AC60" i="2"/>
  <c r="AF60" i="2"/>
  <c r="AI60" i="2"/>
  <c r="AL60" i="2"/>
  <c r="AO60" i="2"/>
  <c r="AR60" i="2"/>
  <c r="AU60" i="2"/>
  <c r="AX60" i="2"/>
  <c r="BA60" i="2"/>
  <c r="E61" i="2"/>
  <c r="H61" i="2"/>
  <c r="K61" i="2"/>
  <c r="N61" i="2"/>
  <c r="Q61" i="2"/>
  <c r="T61" i="2"/>
  <c r="W61" i="2"/>
  <c r="Z61" i="2"/>
  <c r="AC61" i="2"/>
  <c r="AF61" i="2"/>
  <c r="AI61" i="2"/>
  <c r="AL61" i="2"/>
  <c r="AO61" i="2"/>
  <c r="AR61" i="2"/>
  <c r="AU61" i="2"/>
  <c r="AX61" i="2"/>
  <c r="BA61" i="2"/>
  <c r="C62" i="2"/>
  <c r="C65" i="2" s="1"/>
  <c r="C69" i="2" s="1"/>
  <c r="F62" i="2"/>
  <c r="I62" i="2"/>
  <c r="L62" i="2"/>
  <c r="L65" i="2" s="1"/>
  <c r="O62" i="2"/>
  <c r="O65" i="2" s="1"/>
  <c r="O69" i="2" s="1"/>
  <c r="R62" i="2"/>
  <c r="R65" i="2" s="1"/>
  <c r="R69" i="2" s="1"/>
  <c r="U62" i="2"/>
  <c r="X62" i="2"/>
  <c r="X65" i="2" s="1"/>
  <c r="X69" i="2" s="1"/>
  <c r="AA62" i="2"/>
  <c r="AD62" i="2"/>
  <c r="AD65" i="2" s="1"/>
  <c r="AI62" i="2"/>
  <c r="AL62" i="2"/>
  <c r="AO62" i="2"/>
  <c r="AR62" i="2"/>
  <c r="AU62" i="2"/>
  <c r="AX62" i="2"/>
  <c r="BA62" i="2"/>
  <c r="E63" i="2"/>
  <c r="H63" i="2"/>
  <c r="K63" i="2"/>
  <c r="N63" i="2"/>
  <c r="Q63" i="2"/>
  <c r="T63" i="2"/>
  <c r="W63" i="2"/>
  <c r="Z63" i="2"/>
  <c r="AC63" i="2"/>
  <c r="AF63" i="2"/>
  <c r="AI63" i="2"/>
  <c r="AL63" i="2"/>
  <c r="AO63" i="2"/>
  <c r="AR63" i="2"/>
  <c r="AU63" i="2"/>
  <c r="AX63" i="2"/>
  <c r="BA63" i="2"/>
  <c r="E64" i="2"/>
  <c r="H64" i="2"/>
  <c r="K64" i="2"/>
  <c r="N64" i="2"/>
  <c r="Q64" i="2"/>
  <c r="T64" i="2"/>
  <c r="W64" i="2"/>
  <c r="Z64" i="2"/>
  <c r="AC64" i="2"/>
  <c r="AF64" i="2"/>
  <c r="AI64" i="2"/>
  <c r="AL64" i="2"/>
  <c r="AO64" i="2"/>
  <c r="AR64" i="2"/>
  <c r="AU64" i="2"/>
  <c r="AX64" i="2"/>
  <c r="BA64" i="2"/>
  <c r="AG65" i="2"/>
  <c r="AJ65" i="2"/>
  <c r="AM65" i="2"/>
  <c r="AM69" i="2" s="1"/>
  <c r="AP65" i="2"/>
  <c r="AS65" i="2"/>
  <c r="AV65" i="2"/>
  <c r="AV69" i="2" s="1"/>
  <c r="AY65" i="2"/>
  <c r="BB65" i="2"/>
  <c r="E66" i="2"/>
  <c r="H66" i="2"/>
  <c r="K66" i="2"/>
  <c r="N66" i="2"/>
  <c r="Q66" i="2"/>
  <c r="T66" i="2"/>
  <c r="W66" i="2"/>
  <c r="Z66" i="2"/>
  <c r="AC66" i="2"/>
  <c r="AF66" i="2"/>
  <c r="AI66" i="2"/>
  <c r="AL66" i="2"/>
  <c r="AO66" i="2"/>
  <c r="AR66" i="2"/>
  <c r="AU66" i="2"/>
  <c r="AY66" i="2"/>
  <c r="AX66" i="2" s="1"/>
  <c r="E67" i="2"/>
  <c r="H67" i="2"/>
  <c r="K67" i="2"/>
  <c r="N67" i="2"/>
  <c r="Q67" i="2"/>
  <c r="T67" i="2"/>
  <c r="W67" i="2"/>
  <c r="Z67" i="2"/>
  <c r="AC67" i="2"/>
  <c r="AF67" i="2"/>
  <c r="AI67" i="2"/>
  <c r="AL67" i="2"/>
  <c r="AO67" i="2"/>
  <c r="AR67" i="2"/>
  <c r="AU67" i="2"/>
  <c r="AY67" i="2"/>
  <c r="AX67" i="2" s="1"/>
  <c r="E68" i="2"/>
  <c r="H68" i="2"/>
  <c r="K68" i="2"/>
  <c r="N68" i="2"/>
  <c r="Q68" i="2"/>
  <c r="T68" i="2"/>
  <c r="W68" i="2"/>
  <c r="Z68" i="2"/>
  <c r="AC68" i="2"/>
  <c r="AF68" i="2"/>
  <c r="AI68" i="2"/>
  <c r="AL68" i="2"/>
  <c r="AO68" i="2"/>
  <c r="AR68" i="2"/>
  <c r="AU68" i="2"/>
  <c r="AY68" i="2"/>
  <c r="BA68" i="2" s="1"/>
  <c r="E72" i="2"/>
  <c r="H72" i="2"/>
  <c r="K72" i="2"/>
  <c r="N72" i="2"/>
  <c r="Q72" i="2"/>
  <c r="T72" i="2"/>
  <c r="W72" i="2"/>
  <c r="Z72" i="2"/>
  <c r="AC72" i="2"/>
  <c r="AF72" i="2"/>
  <c r="AI72" i="2"/>
  <c r="AL72" i="2"/>
  <c r="AO72" i="2"/>
  <c r="AR72" i="2"/>
  <c r="AU72" i="2"/>
  <c r="AX72" i="2"/>
  <c r="BA72" i="2"/>
  <c r="E73" i="2"/>
  <c r="H73" i="2"/>
  <c r="K73" i="2"/>
  <c r="N73" i="2"/>
  <c r="Q73" i="2"/>
  <c r="T73" i="2"/>
  <c r="W73" i="2"/>
  <c r="Z73" i="2"/>
  <c r="AC73" i="2"/>
  <c r="AF73" i="2"/>
  <c r="AI73" i="2"/>
  <c r="AL73" i="2"/>
  <c r="AO73" i="2"/>
  <c r="AR73" i="2"/>
  <c r="AU73" i="2"/>
  <c r="AX73" i="2"/>
  <c r="BA73" i="2"/>
  <c r="C74" i="2"/>
  <c r="C77" i="2" s="1"/>
  <c r="C81" i="2" s="1"/>
  <c r="F74" i="2"/>
  <c r="F77" i="2" s="1"/>
  <c r="I74" i="2"/>
  <c r="L74" i="2"/>
  <c r="O74" i="2"/>
  <c r="R74" i="2"/>
  <c r="R77" i="2" s="1"/>
  <c r="R81" i="2" s="1"/>
  <c r="U74" i="2"/>
  <c r="X74" i="2"/>
  <c r="AA74" i="2"/>
  <c r="AD74" i="2"/>
  <c r="AI74" i="2"/>
  <c r="AL74" i="2"/>
  <c r="AO74" i="2"/>
  <c r="AR74" i="2"/>
  <c r="AU74" i="2"/>
  <c r="AX74" i="2"/>
  <c r="BA74" i="2"/>
  <c r="E75" i="2"/>
  <c r="H75" i="2"/>
  <c r="K75" i="2"/>
  <c r="N75" i="2"/>
  <c r="Q75" i="2"/>
  <c r="T75" i="2"/>
  <c r="W75" i="2"/>
  <c r="Z75" i="2"/>
  <c r="AC75" i="2"/>
  <c r="AF75" i="2"/>
  <c r="AI75" i="2"/>
  <c r="AL75" i="2"/>
  <c r="AO75" i="2"/>
  <c r="AR75" i="2"/>
  <c r="AU75" i="2"/>
  <c r="AX75" i="2"/>
  <c r="BA75" i="2"/>
  <c r="E76" i="2"/>
  <c r="H76" i="2"/>
  <c r="K76" i="2"/>
  <c r="N76" i="2"/>
  <c r="Q76" i="2"/>
  <c r="T76" i="2"/>
  <c r="W76" i="2"/>
  <c r="Z76" i="2"/>
  <c r="AC76" i="2"/>
  <c r="AF76" i="2"/>
  <c r="AI76" i="2"/>
  <c r="AL76" i="2"/>
  <c r="AO76" i="2"/>
  <c r="AR76" i="2"/>
  <c r="AU76" i="2"/>
  <c r="AX76" i="2"/>
  <c r="BA76" i="2"/>
  <c r="L77" i="2"/>
  <c r="AD77" i="2"/>
  <c r="AD81" i="2" s="1"/>
  <c r="AG77" i="2"/>
  <c r="AG81" i="2" s="1"/>
  <c r="AJ77" i="2"/>
  <c r="AM77" i="2"/>
  <c r="AM81" i="2" s="1"/>
  <c r="AP77" i="2"/>
  <c r="AS77" i="2"/>
  <c r="AS81" i="2" s="1"/>
  <c r="AV77" i="2"/>
  <c r="AY77" i="2"/>
  <c r="BB77" i="2"/>
  <c r="E78" i="2"/>
  <c r="H78" i="2"/>
  <c r="K78" i="2"/>
  <c r="N78" i="2"/>
  <c r="Q78" i="2"/>
  <c r="T78" i="2"/>
  <c r="W78" i="2"/>
  <c r="Z78" i="2"/>
  <c r="AC78" i="2"/>
  <c r="AF78" i="2"/>
  <c r="AI78" i="2"/>
  <c r="AL78" i="2"/>
  <c r="AO78" i="2"/>
  <c r="AR78" i="2"/>
  <c r="AU78" i="2"/>
  <c r="AY78" i="2"/>
  <c r="AX78" i="2" s="1"/>
  <c r="E79" i="2"/>
  <c r="H79" i="2"/>
  <c r="K79" i="2"/>
  <c r="N79" i="2"/>
  <c r="Q79" i="2"/>
  <c r="T79" i="2"/>
  <c r="W79" i="2"/>
  <c r="Z79" i="2"/>
  <c r="AC79" i="2"/>
  <c r="AF79" i="2"/>
  <c r="AI79" i="2"/>
  <c r="AL79" i="2"/>
  <c r="AO79" i="2"/>
  <c r="AR79" i="2"/>
  <c r="AU79" i="2"/>
  <c r="AY79" i="2"/>
  <c r="BA79" i="2" s="1"/>
  <c r="E80" i="2"/>
  <c r="H80" i="2"/>
  <c r="K80" i="2"/>
  <c r="N80" i="2"/>
  <c r="Q80" i="2"/>
  <c r="T80" i="2"/>
  <c r="W80" i="2"/>
  <c r="Z80" i="2"/>
  <c r="AC80" i="2"/>
  <c r="AF80" i="2"/>
  <c r="AI80" i="2"/>
  <c r="AL80" i="2"/>
  <c r="AO80" i="2"/>
  <c r="AR80" i="2"/>
  <c r="AU80" i="2"/>
  <c r="AY80" i="2"/>
  <c r="AX80" i="2" s="1"/>
  <c r="E84" i="2"/>
  <c r="H84" i="2"/>
  <c r="K84" i="2"/>
  <c r="N84" i="2"/>
  <c r="Q84" i="2"/>
  <c r="T84" i="2"/>
  <c r="W84" i="2"/>
  <c r="Z84" i="2"/>
  <c r="AC84" i="2"/>
  <c r="AF84" i="2"/>
  <c r="AI84" i="2"/>
  <c r="AL84" i="2"/>
  <c r="AO84" i="2"/>
  <c r="AR84" i="2"/>
  <c r="AU84" i="2"/>
  <c r="AX84" i="2"/>
  <c r="BA84" i="2"/>
  <c r="E85" i="2"/>
  <c r="H85" i="2"/>
  <c r="K85" i="2"/>
  <c r="N85" i="2"/>
  <c r="Q85" i="2"/>
  <c r="T85" i="2"/>
  <c r="W85" i="2"/>
  <c r="Z85" i="2"/>
  <c r="AC85" i="2"/>
  <c r="AF85" i="2"/>
  <c r="AI85" i="2"/>
  <c r="AL85" i="2"/>
  <c r="AO85" i="2"/>
  <c r="AR85" i="2"/>
  <c r="AU85" i="2"/>
  <c r="AX85" i="2"/>
  <c r="BA85" i="2"/>
  <c r="C86" i="2"/>
  <c r="C89" i="2" s="1"/>
  <c r="C93" i="2" s="1"/>
  <c r="F86" i="2"/>
  <c r="F89" i="2" s="1"/>
  <c r="F93" i="2" s="1"/>
  <c r="I86" i="2"/>
  <c r="H86" i="2" s="1"/>
  <c r="L86" i="2"/>
  <c r="O86" i="2"/>
  <c r="O89" i="2" s="1"/>
  <c r="R86" i="2"/>
  <c r="R89" i="2" s="1"/>
  <c r="R93" i="2" s="1"/>
  <c r="U86" i="2"/>
  <c r="X86" i="2"/>
  <c r="X89" i="2" s="1"/>
  <c r="X93" i="2" s="1"/>
  <c r="AA86" i="2"/>
  <c r="AD86" i="2"/>
  <c r="AI86" i="2"/>
  <c r="AL86" i="2"/>
  <c r="AO86" i="2"/>
  <c r="AR86" i="2"/>
  <c r="AU86" i="2"/>
  <c r="AX86" i="2"/>
  <c r="BA86" i="2"/>
  <c r="E87" i="2"/>
  <c r="H87" i="2"/>
  <c r="K87" i="2"/>
  <c r="N87" i="2"/>
  <c r="Q87" i="2"/>
  <c r="T87" i="2"/>
  <c r="W87" i="2"/>
  <c r="Z87" i="2"/>
  <c r="AC87" i="2"/>
  <c r="AF87" i="2"/>
  <c r="AI87" i="2"/>
  <c r="AL87" i="2"/>
  <c r="AO87" i="2"/>
  <c r="AR87" i="2"/>
  <c r="AU87" i="2"/>
  <c r="AX87" i="2"/>
  <c r="BA87" i="2"/>
  <c r="E88" i="2"/>
  <c r="H88" i="2"/>
  <c r="K88" i="2"/>
  <c r="N88" i="2"/>
  <c r="Q88" i="2"/>
  <c r="T88" i="2"/>
  <c r="W88" i="2"/>
  <c r="Z88" i="2"/>
  <c r="AC88" i="2"/>
  <c r="AF88" i="2"/>
  <c r="AI88" i="2"/>
  <c r="AL88" i="2"/>
  <c r="AO88" i="2"/>
  <c r="AR88" i="2"/>
  <c r="AU88" i="2"/>
  <c r="AX88" i="2"/>
  <c r="BA88" i="2"/>
  <c r="AG89" i="2"/>
  <c r="AJ89" i="2"/>
  <c r="AJ93" i="2" s="1"/>
  <c r="AM89" i="2"/>
  <c r="AM93" i="2" s="1"/>
  <c r="AP89" i="2"/>
  <c r="AP93" i="2" s="1"/>
  <c r="AS89" i="2"/>
  <c r="AV89" i="2"/>
  <c r="AV93" i="2" s="1"/>
  <c r="AY89" i="2"/>
  <c r="BB89" i="2"/>
  <c r="BB93" i="2" s="1"/>
  <c r="E90" i="2"/>
  <c r="H90" i="2"/>
  <c r="K90" i="2"/>
  <c r="N90" i="2"/>
  <c r="Q90" i="2"/>
  <c r="T90" i="2"/>
  <c r="W90" i="2"/>
  <c r="Z90" i="2"/>
  <c r="AC90" i="2"/>
  <c r="AF90" i="2"/>
  <c r="AI90" i="2"/>
  <c r="AL90" i="2"/>
  <c r="AO90" i="2"/>
  <c r="AR90" i="2"/>
  <c r="AU90" i="2"/>
  <c r="AY90" i="2"/>
  <c r="AX90" i="2" s="1"/>
  <c r="E91" i="2"/>
  <c r="H91" i="2"/>
  <c r="K91" i="2"/>
  <c r="N91" i="2"/>
  <c r="Q91" i="2"/>
  <c r="T91" i="2"/>
  <c r="W91" i="2"/>
  <c r="Z91" i="2"/>
  <c r="AC91" i="2"/>
  <c r="AF91" i="2"/>
  <c r="AI91" i="2"/>
  <c r="AL91" i="2"/>
  <c r="AO91" i="2"/>
  <c r="AR91" i="2"/>
  <c r="AU91" i="2"/>
  <c r="AY91" i="2"/>
  <c r="BA91" i="2" s="1"/>
  <c r="E92" i="2"/>
  <c r="H92" i="2"/>
  <c r="K92" i="2"/>
  <c r="N92" i="2"/>
  <c r="Q92" i="2"/>
  <c r="T92" i="2"/>
  <c r="W92" i="2"/>
  <c r="Z92" i="2"/>
  <c r="AC92" i="2"/>
  <c r="AF92" i="2"/>
  <c r="AI92" i="2"/>
  <c r="AL92" i="2"/>
  <c r="AO92" i="2"/>
  <c r="AR92" i="2"/>
  <c r="AU92" i="2"/>
  <c r="AY92" i="2"/>
  <c r="AX92" i="2" s="1"/>
  <c r="E98" i="2"/>
  <c r="H98" i="2"/>
  <c r="K98" i="2"/>
  <c r="N98" i="2"/>
  <c r="Q98" i="2"/>
  <c r="T98" i="2"/>
  <c r="W98" i="2"/>
  <c r="Z98" i="2"/>
  <c r="AC98" i="2"/>
  <c r="AF98" i="2"/>
  <c r="AI98" i="2"/>
  <c r="AL98" i="2"/>
  <c r="AO98" i="2"/>
  <c r="AR98" i="2"/>
  <c r="AU98" i="2"/>
  <c r="AX98" i="2"/>
  <c r="BA98" i="2"/>
  <c r="AD43" i="2" l="1"/>
  <c r="H74" i="2"/>
  <c r="AR65" i="2"/>
  <c r="AX65" i="2"/>
  <c r="BA32" i="2"/>
  <c r="E24" i="3"/>
  <c r="E29" i="3"/>
  <c r="E31" i="3"/>
  <c r="E30" i="3"/>
  <c r="F31" i="3"/>
  <c r="F30" i="3"/>
  <c r="F29" i="3"/>
  <c r="F24" i="3"/>
  <c r="F32" i="3"/>
  <c r="G24" i="3"/>
  <c r="G33" i="3"/>
  <c r="H33" i="3" s="1"/>
  <c r="G32" i="3"/>
  <c r="G30" i="3"/>
  <c r="G31" i="3"/>
  <c r="K9" i="3"/>
  <c r="D9" i="3"/>
  <c r="J9" i="3"/>
  <c r="L9" i="3"/>
  <c r="C9" i="3"/>
  <c r="I9" i="3"/>
  <c r="E9" i="3"/>
  <c r="F9" i="3"/>
  <c r="M9" i="3"/>
  <c r="G9" i="3"/>
  <c r="H9" i="3"/>
  <c r="B24" i="3"/>
  <c r="D28" i="3"/>
  <c r="C28" i="3"/>
  <c r="E28" i="3"/>
  <c r="B28" i="3"/>
  <c r="T74" i="2"/>
  <c r="D24" i="3"/>
  <c r="D29" i="3"/>
  <c r="D30" i="3"/>
  <c r="C29" i="3"/>
  <c r="C24" i="3"/>
  <c r="AC86" i="2"/>
  <c r="AO65" i="2"/>
  <c r="AF62" i="2"/>
  <c r="BA43" i="2"/>
  <c r="Q40" i="2"/>
  <c r="H12" i="2"/>
  <c r="BA77" i="2"/>
  <c r="BA46" i="2"/>
  <c r="Z86" i="2"/>
  <c r="Z74" i="2"/>
  <c r="I29" i="2"/>
  <c r="I31" i="2" s="1"/>
  <c r="H31" i="2" s="1"/>
  <c r="E12" i="2"/>
  <c r="AS69" i="2"/>
  <c r="AX77" i="2"/>
  <c r="BA92" i="2"/>
  <c r="AU77" i="2"/>
  <c r="K74" i="2"/>
  <c r="BA67" i="2"/>
  <c r="AF65" i="2"/>
  <c r="BA33" i="2"/>
  <c r="I15" i="2"/>
  <c r="H15" i="2" s="1"/>
  <c r="N12" i="2"/>
  <c r="AU89" i="2"/>
  <c r="N40" i="2"/>
  <c r="BA90" i="2"/>
  <c r="Q86" i="2"/>
  <c r="BB81" i="2"/>
  <c r="AC74" i="2"/>
  <c r="E77" i="2"/>
  <c r="BA65" i="2"/>
  <c r="AO43" i="2"/>
  <c r="E40" i="2"/>
  <c r="AD29" i="2"/>
  <c r="AD31" i="2" s="1"/>
  <c r="AD35" i="2" s="1"/>
  <c r="Z26" i="2"/>
  <c r="E26" i="2"/>
  <c r="Z12" i="2"/>
  <c r="AU65" i="2"/>
  <c r="AV81" i="2"/>
  <c r="AU81" i="2" s="1"/>
  <c r="K26" i="2"/>
  <c r="AR77" i="2"/>
  <c r="BB45" i="2"/>
  <c r="BB49" i="2" s="1"/>
  <c r="AX89" i="2"/>
  <c r="BA78" i="2"/>
  <c r="AI77" i="2"/>
  <c r="W74" i="2"/>
  <c r="W40" i="2"/>
  <c r="T26" i="2"/>
  <c r="AF81" i="2"/>
  <c r="AO93" i="2"/>
  <c r="AO17" i="2"/>
  <c r="AP21" i="2"/>
  <c r="AL31" i="2"/>
  <c r="AM35" i="2"/>
  <c r="AL35" i="2" s="1"/>
  <c r="AO89" i="2"/>
  <c r="AX48" i="2"/>
  <c r="K43" i="2"/>
  <c r="AL15" i="2"/>
  <c r="AC12" i="2"/>
  <c r="E74" i="2"/>
  <c r="W26" i="2"/>
  <c r="AL89" i="2"/>
  <c r="T40" i="2"/>
  <c r="E93" i="2"/>
  <c r="AC43" i="2"/>
  <c r="AD15" i="2"/>
  <c r="E15" i="2"/>
  <c r="W12" i="2"/>
  <c r="X77" i="2"/>
  <c r="X81" i="2" s="1"/>
  <c r="AF74" i="2"/>
  <c r="AI65" i="2"/>
  <c r="E62" i="2"/>
  <c r="AX45" i="2"/>
  <c r="AX43" i="2"/>
  <c r="AR29" i="2"/>
  <c r="U29" i="2"/>
  <c r="W29" i="2" s="1"/>
  <c r="Q26" i="2"/>
  <c r="AA15" i="2"/>
  <c r="AA17" i="2" s="1"/>
  <c r="T12" i="2"/>
  <c r="AJ81" i="2"/>
  <c r="AI81" i="2" s="1"/>
  <c r="L15" i="2"/>
  <c r="L17" i="2" s="1"/>
  <c r="L21" i="2" s="1"/>
  <c r="AA29" i="2"/>
  <c r="Z29" i="2" s="1"/>
  <c r="AL93" i="2"/>
  <c r="AA89" i="2"/>
  <c r="AA93" i="2" s="1"/>
  <c r="Z93" i="2" s="1"/>
  <c r="T86" i="2"/>
  <c r="BA80" i="2"/>
  <c r="U77" i="2"/>
  <c r="U81" i="2" s="1"/>
  <c r="T81" i="2" s="1"/>
  <c r="BB69" i="2"/>
  <c r="AU49" i="2"/>
  <c r="AU43" i="2"/>
  <c r="N26" i="2"/>
  <c r="AR15" i="2"/>
  <c r="AX79" i="2"/>
  <c r="I77" i="2"/>
  <c r="I81" i="2" s="1"/>
  <c r="AY49" i="2"/>
  <c r="AX49" i="2" s="1"/>
  <c r="H40" i="2"/>
  <c r="F43" i="2"/>
  <c r="E43" i="2" s="1"/>
  <c r="AA77" i="2"/>
  <c r="AA81" i="2" s="1"/>
  <c r="AR89" i="2"/>
  <c r="AO77" i="2"/>
  <c r="AU69" i="2"/>
  <c r="AP45" i="2"/>
  <c r="AP49" i="2" s="1"/>
  <c r="AO49" i="2" s="1"/>
  <c r="R43" i="2"/>
  <c r="Q43" i="2" s="1"/>
  <c r="AC40" i="2"/>
  <c r="K40" i="2"/>
  <c r="AL29" i="2"/>
  <c r="N29" i="2"/>
  <c r="AC26" i="2"/>
  <c r="AO15" i="2"/>
  <c r="Q15" i="2"/>
  <c r="Q12" i="2"/>
  <c r="AL49" i="2"/>
  <c r="AJ69" i="2"/>
  <c r="AD17" i="2"/>
  <c r="AD21" i="2" s="1"/>
  <c r="AG69" i="2"/>
  <c r="R17" i="2"/>
  <c r="AI43" i="2"/>
  <c r="N35" i="2"/>
  <c r="AI89" i="2"/>
  <c r="L81" i="2"/>
  <c r="Q69" i="2"/>
  <c r="L45" i="2"/>
  <c r="L49" i="2" s="1"/>
  <c r="AD45" i="2"/>
  <c r="AF45" i="2" s="1"/>
  <c r="AF77" i="2"/>
  <c r="N31" i="2"/>
  <c r="N65" i="2"/>
  <c r="AL43" i="2"/>
  <c r="N43" i="2"/>
  <c r="AI29" i="2"/>
  <c r="Q89" i="2"/>
  <c r="O93" i="2"/>
  <c r="Q93" i="2" s="1"/>
  <c r="Q74" i="2"/>
  <c r="O77" i="2"/>
  <c r="Q77" i="2" s="1"/>
  <c r="N74" i="2"/>
  <c r="AA65" i="2"/>
  <c r="Z62" i="2"/>
  <c r="AY35" i="2"/>
  <c r="AX35" i="2" s="1"/>
  <c r="AX31" i="2"/>
  <c r="AG17" i="2"/>
  <c r="AI17" i="2" s="1"/>
  <c r="L89" i="2"/>
  <c r="N89" i="2" s="1"/>
  <c r="K86" i="2"/>
  <c r="AX15" i="2"/>
  <c r="AY17" i="2"/>
  <c r="BA17" i="2" s="1"/>
  <c r="AO31" i="2"/>
  <c r="AP35" i="2"/>
  <c r="E21" i="2"/>
  <c r="AY93" i="2"/>
  <c r="AX93" i="2" s="1"/>
  <c r="AU45" i="2"/>
  <c r="BA31" i="2"/>
  <c r="BB35" i="2"/>
  <c r="W86" i="2"/>
  <c r="W62" i="2"/>
  <c r="U65" i="2"/>
  <c r="W65" i="2" s="1"/>
  <c r="E89" i="2"/>
  <c r="E86" i="2"/>
  <c r="T62" i="2"/>
  <c r="AG31" i="2"/>
  <c r="AI31" i="2" s="1"/>
  <c r="AX29" i="2"/>
  <c r="E17" i="2"/>
  <c r="AS93" i="2"/>
  <c r="AR93" i="2" s="1"/>
  <c r="BA89" i="2"/>
  <c r="AP81" i="2"/>
  <c r="AD69" i="2"/>
  <c r="AL65" i="2"/>
  <c r="Q62" i="2"/>
  <c r="AL45" i="2"/>
  <c r="X43" i="2"/>
  <c r="Z40" i="2"/>
  <c r="AU29" i="2"/>
  <c r="AV21" i="2"/>
  <c r="U15" i="2"/>
  <c r="W15" i="2" s="1"/>
  <c r="O21" i="2"/>
  <c r="AX68" i="2"/>
  <c r="Q31" i="2"/>
  <c r="R35" i="2"/>
  <c r="Q35" i="2" s="1"/>
  <c r="F81" i="2"/>
  <c r="E81" i="2" s="1"/>
  <c r="L69" i="2"/>
  <c r="F65" i="2"/>
  <c r="U89" i="2"/>
  <c r="W89" i="2" s="1"/>
  <c r="AG49" i="2"/>
  <c r="AS17" i="2"/>
  <c r="K62" i="2"/>
  <c r="I65" i="2"/>
  <c r="K65" i="2" s="1"/>
  <c r="AL17" i="2"/>
  <c r="AM21" i="2"/>
  <c r="AL21" i="2" s="1"/>
  <c r="AX91" i="2"/>
  <c r="H62" i="2"/>
  <c r="AG93" i="2"/>
  <c r="AI93" i="2" s="1"/>
  <c r="I89" i="2"/>
  <c r="AL77" i="2"/>
  <c r="AY69" i="2"/>
  <c r="AX69" i="2" s="1"/>
  <c r="BA66" i="2"/>
  <c r="AY81" i="2"/>
  <c r="AD89" i="2"/>
  <c r="AF89" i="2" s="1"/>
  <c r="AF86" i="2"/>
  <c r="N86" i="2"/>
  <c r="AP69" i="2"/>
  <c r="AO69" i="2" s="1"/>
  <c r="Q65" i="2"/>
  <c r="AC62" i="2"/>
  <c r="N62" i="2"/>
  <c r="AI45" i="2"/>
  <c r="AS31" i="2"/>
  <c r="AU31" i="2" s="1"/>
  <c r="E31" i="2"/>
  <c r="F35" i="2"/>
  <c r="E35" i="2" s="1"/>
  <c r="BA15" i="2"/>
  <c r="AR43" i="2"/>
  <c r="AF43" i="2"/>
  <c r="BA29" i="2"/>
  <c r="AO29" i="2"/>
  <c r="AC29" i="2"/>
  <c r="Q29" i="2"/>
  <c r="E29" i="2"/>
  <c r="AU15" i="2"/>
  <c r="AI15" i="2"/>
  <c r="BD18" i="2"/>
  <c r="BH18" i="2"/>
  <c r="AF29" i="2" l="1"/>
  <c r="N17" i="2"/>
  <c r="F45" i="2"/>
  <c r="F49" i="2" s="1"/>
  <c r="H49" i="2" s="1"/>
  <c r="AL81" i="2"/>
  <c r="H29" i="2"/>
  <c r="D39" i="3"/>
  <c r="D42" i="3" s="1"/>
  <c r="D34" i="3"/>
  <c r="H32" i="3"/>
  <c r="B34" i="3"/>
  <c r="H28" i="3"/>
  <c r="B39" i="3"/>
  <c r="B42" i="3" s="1"/>
  <c r="F34" i="3"/>
  <c r="C34" i="3"/>
  <c r="C39" i="3"/>
  <c r="C42" i="3" s="1"/>
  <c r="K29" i="2"/>
  <c r="BA45" i="2"/>
  <c r="G34" i="3"/>
  <c r="H31" i="3"/>
  <c r="H30" i="3"/>
  <c r="H29" i="3"/>
  <c r="E39" i="3"/>
  <c r="E42" i="3" s="1"/>
  <c r="E34" i="3"/>
  <c r="K31" i="2"/>
  <c r="AC77" i="2"/>
  <c r="I35" i="2"/>
  <c r="K35" i="2" s="1"/>
  <c r="I17" i="2"/>
  <c r="I21" i="2" s="1"/>
  <c r="H21" i="2" s="1"/>
  <c r="N15" i="2"/>
  <c r="AO21" i="2"/>
  <c r="K15" i="2"/>
  <c r="H43" i="2"/>
  <c r="AX81" i="2"/>
  <c r="AC17" i="2"/>
  <c r="R45" i="2"/>
  <c r="T45" i="2" s="1"/>
  <c r="AO35" i="2"/>
  <c r="Z81" i="2"/>
  <c r="Z89" i="2"/>
  <c r="T77" i="2"/>
  <c r="H77" i="2"/>
  <c r="Z77" i="2"/>
  <c r="T43" i="2"/>
  <c r="Z15" i="2"/>
  <c r="AC45" i="2"/>
  <c r="W81" i="2"/>
  <c r="AD49" i="2"/>
  <c r="AC49" i="2" s="1"/>
  <c r="BA49" i="2"/>
  <c r="K45" i="2"/>
  <c r="AR45" i="2"/>
  <c r="K81" i="2"/>
  <c r="H45" i="2"/>
  <c r="AO45" i="2"/>
  <c r="E49" i="2"/>
  <c r="U31" i="2"/>
  <c r="T31" i="2" s="1"/>
  <c r="AC15" i="2"/>
  <c r="Z17" i="2"/>
  <c r="T29" i="2"/>
  <c r="AF15" i="2"/>
  <c r="AA31" i="2"/>
  <c r="BA69" i="2"/>
  <c r="K77" i="2"/>
  <c r="AA21" i="2"/>
  <c r="Z21" i="2" s="1"/>
  <c r="N45" i="2"/>
  <c r="W77" i="2"/>
  <c r="AR49" i="2"/>
  <c r="K49" i="2"/>
  <c r="N49" i="2"/>
  <c r="AI69" i="2"/>
  <c r="AL69" i="2"/>
  <c r="AC81" i="2"/>
  <c r="H81" i="2"/>
  <c r="Q17" i="2"/>
  <c r="R21" i="2"/>
  <c r="Q21" i="2" s="1"/>
  <c r="K17" i="2"/>
  <c r="AS21" i="2"/>
  <c r="AR21" i="2" s="1"/>
  <c r="AR17" i="2"/>
  <c r="AU17" i="2"/>
  <c r="AA69" i="2"/>
  <c r="Z69" i="2" s="1"/>
  <c r="Z65" i="2"/>
  <c r="N21" i="2"/>
  <c r="AU93" i="2"/>
  <c r="AD93" i="2"/>
  <c r="AC93" i="2" s="1"/>
  <c r="AC89" i="2"/>
  <c r="BA35" i="2"/>
  <c r="BA93" i="2"/>
  <c r="L93" i="2"/>
  <c r="N93" i="2" s="1"/>
  <c r="K89" i="2"/>
  <c r="O81" i="2"/>
  <c r="N77" i="2"/>
  <c r="BA81" i="2"/>
  <c r="AO81" i="2"/>
  <c r="AR81" i="2"/>
  <c r="T15" i="2"/>
  <c r="U17" i="2"/>
  <c r="AF31" i="2"/>
  <c r="AG35" i="2"/>
  <c r="AG21" i="2"/>
  <c r="AF17" i="2"/>
  <c r="AI49" i="2"/>
  <c r="H89" i="2"/>
  <c r="I93" i="2"/>
  <c r="H93" i="2" s="1"/>
  <c r="N69" i="2"/>
  <c r="AS35" i="2"/>
  <c r="AR31" i="2"/>
  <c r="AR69" i="2"/>
  <c r="U69" i="2"/>
  <c r="T65" i="2"/>
  <c r="E65" i="2"/>
  <c r="F69" i="2"/>
  <c r="E69" i="2" s="1"/>
  <c r="X45" i="2"/>
  <c r="W43" i="2"/>
  <c r="AY21" i="2"/>
  <c r="AX17" i="2"/>
  <c r="Z43" i="2"/>
  <c r="I69" i="2"/>
  <c r="K69" i="2" s="1"/>
  <c r="H65" i="2"/>
  <c r="T89" i="2"/>
  <c r="U93" i="2"/>
  <c r="AF69" i="2"/>
  <c r="AC65" i="2"/>
  <c r="BH10" i="2"/>
  <c r="E45" i="2" l="1"/>
  <c r="K21" i="2"/>
  <c r="H35" i="2"/>
  <c r="H34" i="3"/>
  <c r="AF93" i="2"/>
  <c r="H17" i="2"/>
  <c r="Q45" i="2"/>
  <c r="R49" i="2"/>
  <c r="Q49" i="2" s="1"/>
  <c r="U35" i="2"/>
  <c r="T35" i="2" s="1"/>
  <c r="AF49" i="2"/>
  <c r="W31" i="2"/>
  <c r="Z31" i="2"/>
  <c r="AA35" i="2"/>
  <c r="AC31" i="2"/>
  <c r="AU21" i="2"/>
  <c r="AC21" i="2"/>
  <c r="AC69" i="2"/>
  <c r="K93" i="2"/>
  <c r="T93" i="2"/>
  <c r="W93" i="2"/>
  <c r="N81" i="2"/>
  <c r="Q81" i="2"/>
  <c r="AR35" i="2"/>
  <c r="AU35" i="2"/>
  <c r="AX21" i="2"/>
  <c r="BA21" i="2"/>
  <c r="X49" i="2"/>
  <c r="W45" i="2"/>
  <c r="Z45" i="2"/>
  <c r="AF21" i="2"/>
  <c r="AI21" i="2"/>
  <c r="AF35" i="2"/>
  <c r="AI35" i="2"/>
  <c r="H69" i="2"/>
  <c r="U21" i="2"/>
  <c r="T17" i="2"/>
  <c r="W17" i="2"/>
  <c r="T69" i="2"/>
  <c r="W69" i="2"/>
  <c r="BH92" i="2"/>
  <c r="BH91" i="2"/>
  <c r="BH90" i="2"/>
  <c r="BI89" i="2"/>
  <c r="BH88" i="2"/>
  <c r="BH87" i="2"/>
  <c r="BH86" i="2"/>
  <c r="BH85" i="2"/>
  <c r="BH84" i="2"/>
  <c r="BH80" i="2"/>
  <c r="BH79" i="2"/>
  <c r="BH78" i="2"/>
  <c r="BI77" i="2"/>
  <c r="BH76" i="2"/>
  <c r="BH75" i="2"/>
  <c r="BH74" i="2"/>
  <c r="BH73" i="2"/>
  <c r="BH72" i="2"/>
  <c r="BH68" i="2"/>
  <c r="BH67" i="2"/>
  <c r="BH66" i="2"/>
  <c r="BI65" i="2"/>
  <c r="BH64" i="2"/>
  <c r="BH63" i="2"/>
  <c r="BH62" i="2"/>
  <c r="BH61" i="2"/>
  <c r="BH60" i="2"/>
  <c r="BH48" i="2"/>
  <c r="BH47" i="2"/>
  <c r="BH46" i="2"/>
  <c r="BH44" i="2"/>
  <c r="BI43" i="2"/>
  <c r="BH42" i="2"/>
  <c r="BH41" i="2"/>
  <c r="BH40" i="2"/>
  <c r="BH39" i="2"/>
  <c r="BH38" i="2"/>
  <c r="BH34" i="2"/>
  <c r="BH33" i="2"/>
  <c r="BH32" i="2"/>
  <c r="BH30" i="2"/>
  <c r="BI29" i="2"/>
  <c r="BL29" i="2" s="1"/>
  <c r="BH28" i="2"/>
  <c r="BH27" i="2"/>
  <c r="BH26" i="2"/>
  <c r="BH25" i="2"/>
  <c r="BH24" i="2"/>
  <c r="BH20" i="2"/>
  <c r="BH19" i="2"/>
  <c r="BH16" i="2"/>
  <c r="BI15" i="2"/>
  <c r="BH14" i="2"/>
  <c r="BH13" i="2"/>
  <c r="BH12" i="2"/>
  <c r="BH11" i="2"/>
  <c r="BI17" i="2" l="1"/>
  <c r="BL17" i="2" s="1"/>
  <c r="BL15" i="2"/>
  <c r="BI45" i="2"/>
  <c r="BL45" i="2" s="1"/>
  <c r="BL43" i="2"/>
  <c r="B8" i="3"/>
  <c r="D8" i="3" s="1"/>
  <c r="BL65" i="2"/>
  <c r="BI93" i="2"/>
  <c r="BL93" i="2" s="1"/>
  <c r="BL89" i="2"/>
  <c r="BI81" i="2"/>
  <c r="BL81" i="2" s="1"/>
  <c r="BL77" i="2"/>
  <c r="J8" i="3"/>
  <c r="G8" i="3"/>
  <c r="F8" i="3"/>
  <c r="E8" i="3"/>
  <c r="L8" i="3"/>
  <c r="I8" i="3"/>
  <c r="BI21" i="2"/>
  <c r="BL21" i="2" s="1"/>
  <c r="T49" i="2"/>
  <c r="W35" i="2"/>
  <c r="Z35" i="2"/>
  <c r="AC35" i="2"/>
  <c r="T21" i="2"/>
  <c r="W21" i="2"/>
  <c r="W49" i="2"/>
  <c r="Z49" i="2"/>
  <c r="BI69" i="2"/>
  <c r="BL69" i="2" s="1"/>
  <c r="BI49" i="2"/>
  <c r="BL49" i="2" s="1"/>
  <c r="BI31" i="2"/>
  <c r="BL31" i="2" s="1"/>
  <c r="BD44" i="2"/>
  <c r="BD30" i="2"/>
  <c r="BD16" i="2"/>
  <c r="BD92" i="2"/>
  <c r="BD91" i="2"/>
  <c r="BD90" i="2"/>
  <c r="BE89" i="2"/>
  <c r="BH89" i="2" s="1"/>
  <c r="BD88" i="2"/>
  <c r="BD87" i="2"/>
  <c r="BD86" i="2"/>
  <c r="BD85" i="2"/>
  <c r="BD84" i="2"/>
  <c r="BD80" i="2"/>
  <c r="BD79" i="2"/>
  <c r="BD78" i="2"/>
  <c r="BE77" i="2"/>
  <c r="BE81" i="2" s="1"/>
  <c r="BD76" i="2"/>
  <c r="BD75" i="2"/>
  <c r="BD74" i="2"/>
  <c r="BD73" i="2"/>
  <c r="BD72" i="2"/>
  <c r="BD68" i="2"/>
  <c r="BD67" i="2"/>
  <c r="BD66" i="2"/>
  <c r="BE65" i="2"/>
  <c r="BE69" i="2" s="1"/>
  <c r="BD64" i="2"/>
  <c r="BD63" i="2"/>
  <c r="BD62" i="2"/>
  <c r="BD61" i="2"/>
  <c r="BD60" i="2"/>
  <c r="BD48" i="2"/>
  <c r="BD47" i="2"/>
  <c r="BD46" i="2"/>
  <c r="BE43" i="2"/>
  <c r="BE45" i="2" s="1"/>
  <c r="BE49" i="2" s="1"/>
  <c r="BD42" i="2"/>
  <c r="BD41" i="2"/>
  <c r="BD40" i="2"/>
  <c r="BD39" i="2"/>
  <c r="BD38" i="2"/>
  <c r="BD34" i="2"/>
  <c r="BD33" i="2"/>
  <c r="BD32" i="2"/>
  <c r="BD28" i="2"/>
  <c r="BD27" i="2"/>
  <c r="BD26" i="2"/>
  <c r="BD25" i="2"/>
  <c r="BD20" i="2"/>
  <c r="BD19" i="2"/>
  <c r="BE15" i="2"/>
  <c r="BE17" i="2" s="1"/>
  <c r="BE21" i="2" s="1"/>
  <c r="BD14" i="2"/>
  <c r="BD13" i="2"/>
  <c r="BD12" i="2"/>
  <c r="BD11" i="2"/>
  <c r="BD10" i="2"/>
  <c r="H8" i="3" l="1"/>
  <c r="M8" i="3"/>
  <c r="C8" i="3"/>
  <c r="BH81" i="2"/>
  <c r="K8" i="3"/>
  <c r="G4" i="3"/>
  <c r="H4" i="3"/>
  <c r="F4" i="3"/>
  <c r="M4" i="3"/>
  <c r="I4" i="3"/>
  <c r="J4" i="3"/>
  <c r="K4" i="3"/>
  <c r="C4" i="3"/>
  <c r="D4" i="3"/>
  <c r="L4" i="3"/>
  <c r="E4" i="3"/>
  <c r="BH45" i="2"/>
  <c r="BH43" i="2"/>
  <c r="BH49" i="2"/>
  <c r="BH15" i="2"/>
  <c r="BH77" i="2"/>
  <c r="BH21" i="2"/>
  <c r="BH65" i="2"/>
  <c r="BH69" i="2"/>
  <c r="BH17" i="2"/>
  <c r="BI35" i="2"/>
  <c r="BL35" i="2" s="1"/>
  <c r="BD24" i="2"/>
  <c r="BE29" i="2"/>
  <c r="BE93" i="2"/>
  <c r="BH93" i="2" s="1"/>
  <c r="BE31" i="2" l="1"/>
  <c r="BH29" i="2"/>
  <c r="BD45" i="2"/>
  <c r="BD29" i="2"/>
  <c r="BD65" i="2"/>
  <c r="BD77" i="2"/>
  <c r="BD15" i="2"/>
  <c r="BD89" i="2"/>
  <c r="BD93" i="2"/>
  <c r="BD43" i="2"/>
  <c r="BE35" i="2" l="1"/>
  <c r="BH31" i="2"/>
  <c r="BD31" i="2"/>
  <c r="BD17" i="2"/>
  <c r="BD49" i="2"/>
  <c r="BD81" i="2"/>
  <c r="BD69" i="2"/>
  <c r="BH35" i="2" l="1"/>
  <c r="BD35" i="2"/>
  <c r="BD21" i="2"/>
</calcChain>
</file>

<file path=xl/sharedStrings.xml><?xml version="1.0" encoding="utf-8"?>
<sst xmlns="http://schemas.openxmlformats.org/spreadsheetml/2006/main" count="471" uniqueCount="223">
  <si>
    <t>FY00</t>
  </si>
  <si>
    <t>FY01</t>
  </si>
  <si>
    <t>FY02</t>
  </si>
  <si>
    <t>FY03</t>
  </si>
  <si>
    <t>FY04</t>
  </si>
  <si>
    <t>FY05</t>
  </si>
  <si>
    <t>FY06</t>
  </si>
  <si>
    <t>FY07</t>
  </si>
  <si>
    <t>FY08</t>
  </si>
  <si>
    <t>FY09</t>
  </si>
  <si>
    <t>FY10</t>
  </si>
  <si>
    <t>Undergraduate</t>
  </si>
  <si>
    <t>In-State</t>
  </si>
  <si>
    <t xml:space="preserve">   Tuition</t>
  </si>
  <si>
    <t xml:space="preserve">   University Fee</t>
  </si>
  <si>
    <t xml:space="preserve">   University General Fee</t>
  </si>
  <si>
    <t xml:space="preserve">   Student Activity Fee</t>
  </si>
  <si>
    <t xml:space="preserve">         Total Commuting Student</t>
  </si>
  <si>
    <t xml:space="preserve">   Food Service</t>
  </si>
  <si>
    <t xml:space="preserve">   Housing (Double)</t>
  </si>
  <si>
    <t xml:space="preserve">   Residence Hall Social Fee</t>
  </si>
  <si>
    <t xml:space="preserve">         Total Resident Student</t>
  </si>
  <si>
    <t>Out-of-State</t>
  </si>
  <si>
    <t>NE Regional</t>
  </si>
  <si>
    <t>Graduate</t>
  </si>
  <si>
    <t>(BR#99-33)</t>
  </si>
  <si>
    <t>(BR#99-59)</t>
  </si>
  <si>
    <t>(BR#00-102)</t>
  </si>
  <si>
    <t xml:space="preserve">   Media Fee</t>
  </si>
  <si>
    <t>(BR#02-62)</t>
  </si>
  <si>
    <t>(BR#01-81)</t>
  </si>
  <si>
    <t>(BR#04-32)</t>
  </si>
  <si>
    <t>(BR#04-62)</t>
  </si>
  <si>
    <t>(BR#05-49)</t>
  </si>
  <si>
    <t>(BR#06-85)</t>
  </si>
  <si>
    <t>(BR#09-37)</t>
  </si>
  <si>
    <t>FY11</t>
  </si>
  <si>
    <t>(BR#09-85)</t>
  </si>
  <si>
    <t>Central Connecticut State University</t>
  </si>
  <si>
    <t>Mandatory fee unless waived:</t>
  </si>
  <si>
    <t>% Incr.</t>
  </si>
  <si>
    <t>FY12</t>
  </si>
  <si>
    <t>(BR#11-33)</t>
  </si>
  <si>
    <t>FY13</t>
  </si>
  <si>
    <t>(BR#     )</t>
  </si>
  <si>
    <t>Tuition &amp; Fees  (Annual Rates)</t>
  </si>
  <si>
    <t>FY14</t>
  </si>
  <si>
    <t>approved 3/21/13</t>
  </si>
  <si>
    <t>FY15</t>
  </si>
  <si>
    <t>approved 3/13/14</t>
  </si>
  <si>
    <t>FY16</t>
  </si>
  <si>
    <t>approved 3/26/15</t>
  </si>
  <si>
    <t>FY17</t>
  </si>
  <si>
    <t>approved 3/29/16</t>
  </si>
  <si>
    <t>approved 1/19/12</t>
  </si>
  <si>
    <t>FY18</t>
  </si>
  <si>
    <t>approved 4/6/17</t>
  </si>
  <si>
    <t xml:space="preserve">         Subtotal</t>
  </si>
  <si>
    <t xml:space="preserve">   Transportation Fee</t>
  </si>
  <si>
    <t xml:space="preserve">   Sickness Insurance*</t>
  </si>
  <si>
    <t>* No longer offered starting FY18</t>
  </si>
  <si>
    <t>FY19</t>
  </si>
  <si>
    <t>approved 3/9/18</t>
  </si>
  <si>
    <t>(1) Kept by CCSU and posted to Current Unrestricted</t>
  </si>
  <si>
    <t>Kept by CCSU</t>
  </si>
  <si>
    <t>Accounting/Tuition &amp; Fee History/Tuition_Fees FY18-FY19</t>
  </si>
  <si>
    <t>(2) Kept by CCSU and posted to Current Unrestricted, less ($68 Accident Insurance, Info Tech Fee $223, Transcript Fee $10, Parking Garage $125)</t>
  </si>
  <si>
    <t>(3) Kept by CCSU and posted to Current Unrestricted, less ($? TBD Accident Insurance, Info Tech Fee $223, Transcript Fee $10, Parking Garage $125)</t>
  </si>
  <si>
    <t>(3) Kept by CCSU and posted to Current Unrestricted, less ($60 Accident Insurance, Info Tech Fee $223, Transcript Fee $10, Parking Garage $125)</t>
  </si>
  <si>
    <t># of students</t>
  </si>
  <si>
    <t>Total Tuition and Fees - IS UG Student</t>
  </si>
  <si>
    <t>Revenue Per student kept by CCSU - IS UG Student</t>
  </si>
  <si>
    <t>Revenue Per student kept by CCSU - IS GR Student</t>
  </si>
  <si>
    <t>ANNUAL RATES</t>
  </si>
  <si>
    <t>Total Tuition and Fees - IS GR Student</t>
  </si>
  <si>
    <t>Cohort 1</t>
  </si>
  <si>
    <t>Cohort 2</t>
  </si>
  <si>
    <t>Cohort 3</t>
  </si>
  <si>
    <t>Cohort 4</t>
  </si>
  <si>
    <t>Year 1</t>
  </si>
  <si>
    <t>Year 2</t>
  </si>
  <si>
    <t>Year 3</t>
  </si>
  <si>
    <t>Year 4</t>
  </si>
  <si>
    <t>Year 5</t>
  </si>
  <si>
    <t>Year 6</t>
  </si>
  <si>
    <t>Cohort 5</t>
  </si>
  <si>
    <t>Cohort 6</t>
  </si>
  <si>
    <t>Annual Revenue per student</t>
  </si>
  <si>
    <t>Total Estimated Revenue</t>
  </si>
  <si>
    <t>Year I</t>
  </si>
  <si>
    <t>Year II</t>
  </si>
  <si>
    <t>Year III</t>
  </si>
  <si>
    <t>Year IV</t>
  </si>
  <si>
    <t>Year V</t>
  </si>
  <si>
    <t>cross check</t>
  </si>
  <si>
    <t>FT</t>
  </si>
  <si>
    <t>PT</t>
  </si>
  <si>
    <t>FULL TIME SALARY VALUE - USED EXISTING AVERAGE</t>
  </si>
  <si>
    <t>with fringe</t>
  </si>
  <si>
    <t>Professor</t>
  </si>
  <si>
    <t>Assoc Prof</t>
  </si>
  <si>
    <t>Assist Prof</t>
  </si>
  <si>
    <t>FT(24 credits)  NUMBER OF FACULTY</t>
  </si>
  <si>
    <t>PART TIME PER CLASS VALUE</t>
  </si>
  <si>
    <t>Part-time Member</t>
  </si>
  <si>
    <t>credit</t>
  </si>
  <si>
    <t>3 credit</t>
  </si>
  <si>
    <t>FT with ps and fringe</t>
  </si>
  <si>
    <t>pT with ps and fringe</t>
  </si>
  <si>
    <t xml:space="preserve">Cohort 4 </t>
  </si>
  <si>
    <t>FACULTY</t>
  </si>
  <si>
    <t>The credits required by year - broken out by FT and PT Faculty Members who will teach the credits</t>
  </si>
  <si>
    <t>FALL</t>
  </si>
  <si>
    <t>SPRING</t>
  </si>
  <si>
    <t>Total Personal Services</t>
  </si>
  <si>
    <t>TOTAL</t>
  </si>
  <si>
    <t>Cohort 1 - revenue</t>
  </si>
  <si>
    <t>cohort 1 expense</t>
  </si>
  <si>
    <t>Net Funds</t>
  </si>
  <si>
    <t>EXAMPLE OF HOW MUCH REVENUE IS GENERATED</t>
  </si>
  <si>
    <t>COHORT 1</t>
  </si>
  <si>
    <t>approved 05/07/19</t>
  </si>
  <si>
    <t>FY20</t>
  </si>
  <si>
    <t>ELECTRICAL ENGINEERING - 11/3-19</t>
  </si>
  <si>
    <t>ESTIMATED ENROLLMENT - BASED PROPOSAL RECEIVED 05/19</t>
  </si>
  <si>
    <t>Karen Tracey</t>
  </si>
  <si>
    <t>Shuju Wu</t>
  </si>
  <si>
    <t>David Broderick</t>
  </si>
  <si>
    <t>Sangho Park</t>
  </si>
  <si>
    <t>Deborah Zanella</t>
  </si>
  <si>
    <t>Median</t>
  </si>
  <si>
    <t>45% Fringe</t>
  </si>
  <si>
    <t>Total</t>
  </si>
  <si>
    <t>Smith, Kimberly</t>
  </si>
  <si>
    <t>Administrative Professional</t>
  </si>
  <si>
    <t>AY20</t>
  </si>
  <si>
    <t>AY21</t>
  </si>
  <si>
    <t>AY22</t>
  </si>
  <si>
    <t>PROJECTED Enrollment</t>
  </si>
  <si>
    <t>Fall Semester</t>
  </si>
  <si>
    <t>Spring Semester</t>
  </si>
  <si>
    <t>Summer</t>
  </si>
  <si>
    <t>Internal Transfer (from other programs</t>
  </si>
  <si>
    <t>New Students (first time matriculating)</t>
  </si>
  <si>
    <t>Continuing Students progressing to credential</t>
  </si>
  <si>
    <t>Headcount Enrollment</t>
  </si>
  <si>
    <r>
      <t>Total Estimated FTE per Year</t>
    </r>
    <r>
      <rPr>
        <b/>
        <vertAlign val="superscript"/>
        <sz val="10"/>
        <color theme="1"/>
        <rFont val="Times New Roman"/>
        <family val="1"/>
      </rPr>
      <t>1</t>
    </r>
  </si>
  <si>
    <t>PROJECTED Program Revenue</t>
  </si>
  <si>
    <r>
      <t>Tuition</t>
    </r>
    <r>
      <rPr>
        <vertAlign val="superscript"/>
        <sz val="10"/>
        <color theme="1"/>
        <rFont val="Times New Roman"/>
        <family val="1"/>
      </rPr>
      <t>2</t>
    </r>
  </si>
  <si>
    <r>
      <t>Tuition from Internal Transfer</t>
    </r>
    <r>
      <rPr>
        <vertAlign val="superscript"/>
        <sz val="10"/>
        <color theme="1"/>
        <rFont val="Times New Roman"/>
        <family val="1"/>
      </rPr>
      <t>2</t>
    </r>
  </si>
  <si>
    <t>Program Specific Fees (lab fees, etc.)</t>
  </si>
  <si>
    <t>Other Revenue (annotate in narrative)</t>
  </si>
  <si>
    <t>Total Annual Program Revenue</t>
  </si>
  <si>
    <r>
      <t>PROJECTED Program Expenditures</t>
    </r>
    <r>
      <rPr>
        <b/>
        <vertAlign val="superscript"/>
        <sz val="10"/>
        <color rgb="FF000000"/>
        <rFont val="Times New Roman"/>
        <family val="1"/>
      </rPr>
      <t>3</t>
    </r>
  </si>
  <si>
    <r>
      <t>NOTE:</t>
    </r>
    <r>
      <rPr>
        <sz val="10"/>
        <color theme="1"/>
        <rFont val="Times New Roman"/>
        <family val="1"/>
      </rPr>
      <t xml:space="preserve">  </t>
    </r>
    <r>
      <rPr>
        <sz val="10"/>
        <color rgb="FF4472C4"/>
        <rFont val="Times New Roman"/>
        <family val="1"/>
      </rPr>
      <t>Existing regulations require that: “an application for a new program shall include a complete and realistic plan for implementing and financing the proposed program during the first cycle of operation, based on projected enrollment levels; the nature and extent of instructional services required; the availability of existing resources to support the program; additional resource requirements; and projected sources of funding.  If resources to operate a program are to be provided totally or in part through reallocation of existing resources, the institution shall identify the resources to be employed and explain how existing programs will be affected.  Reallocation of resources to meet new and changing needs is encouraged, provided such reallocation does not reduce the quality of continuing programs below acceptable levels.”</t>
    </r>
  </si>
  <si>
    <r>
      <t xml:space="preserve">       </t>
    </r>
    <r>
      <rPr>
        <sz val="10"/>
        <color theme="1"/>
        <rFont val="Times New Roman"/>
        <family val="1"/>
      </rPr>
      <t>Formula for conversion of part-time enrollments to Full-Time Equivalent (FTE):  Divide part-time enrollment by 3, and round to the nearest tenth - for example 20 part-time enrollees equals 20 divided by 3 equals 6.67 or 6.7 FTE.</t>
    </r>
  </si>
  <si>
    <r>
      <t>2</t>
    </r>
    <r>
      <rPr>
        <sz val="7"/>
        <color theme="1"/>
        <rFont val="Times New Roman"/>
        <family val="1"/>
      </rPr>
      <t xml:space="preserve">       </t>
    </r>
    <r>
      <rPr>
        <sz val="10"/>
        <color theme="1"/>
        <rFont val="Times New Roman"/>
        <family val="1"/>
      </rPr>
      <t xml:space="preserve"> Revenues from all courses students will be taking.</t>
    </r>
  </si>
  <si>
    <t>3      Capital outlay costs, instructional spending for research and services, etc. can be excluded.</t>
  </si>
  <si>
    <t>4      If full-time person is solely hired for this program, use rate time; otherwise, use a percentage.  Indicate if new hires or existing faculty/staff.  Record Salary and Fringe Benefits, accordingly.</t>
  </si>
  <si>
    <t>5      e.g. student services.  Course development would be direct payment or release time; marketing is cost of marketing that program separately.</t>
  </si>
  <si>
    <t>6      Check with your Business Office – community colleges have one rate; the others each have their own. Indirect Cost might include such expenses as student services, operations and maintenance.</t>
  </si>
  <si>
    <r>
      <t>Administration (Chair or Coordinator)</t>
    </r>
    <r>
      <rPr>
        <vertAlign val="superscript"/>
        <sz val="10"/>
        <color theme="1"/>
        <rFont val="Times New Roman"/>
        <family val="1"/>
      </rPr>
      <t>4</t>
    </r>
  </si>
  <si>
    <r>
      <t>Faculty (Full-time, total for program)</t>
    </r>
    <r>
      <rPr>
        <vertAlign val="superscript"/>
        <sz val="10"/>
        <color theme="1"/>
        <rFont val="Times New Roman"/>
        <family val="1"/>
      </rPr>
      <t xml:space="preserve"> 4</t>
    </r>
  </si>
  <si>
    <r>
      <t>Faculty (Part-time, total for program)</t>
    </r>
    <r>
      <rPr>
        <vertAlign val="superscript"/>
        <sz val="10"/>
        <color theme="1"/>
        <rFont val="Times New Roman"/>
        <family val="1"/>
      </rPr>
      <t xml:space="preserve"> 4</t>
    </r>
  </si>
  <si>
    <t>Support Staff ( lab or grad assist, tutor)</t>
  </si>
  <si>
    <t>Library Resources Program</t>
  </si>
  <si>
    <t>Equipment (List in narrative)</t>
  </si>
  <si>
    <r>
      <t>Other</t>
    </r>
    <r>
      <rPr>
        <vertAlign val="superscript"/>
        <sz val="10"/>
        <color theme="1"/>
        <rFont val="Times New Roman"/>
        <family val="1"/>
      </rPr>
      <t>5</t>
    </r>
  </si>
  <si>
    <r>
      <t>Estimated Indirect Costs</t>
    </r>
    <r>
      <rPr>
        <vertAlign val="superscript"/>
        <sz val="10"/>
        <color theme="1"/>
        <rFont val="Times New Roman"/>
        <family val="1"/>
      </rPr>
      <t>6</t>
    </r>
  </si>
  <si>
    <t>Total Expenditures per Year</t>
  </si>
  <si>
    <t>Fall 2020</t>
  </si>
  <si>
    <t>Spring 2021</t>
  </si>
  <si>
    <t>Summer 2021</t>
  </si>
  <si>
    <t>Fall 2021</t>
  </si>
  <si>
    <t>Spring 2022</t>
  </si>
  <si>
    <t>Summer 2022</t>
  </si>
  <si>
    <t>Fall 2022</t>
  </si>
  <si>
    <t>Spring 2023</t>
  </si>
  <si>
    <t>Summer 2023</t>
  </si>
  <si>
    <t>Total Headcount</t>
  </si>
  <si>
    <t>Credits</t>
  </si>
  <si>
    <t>Total Credits</t>
  </si>
  <si>
    <t>FTE</t>
  </si>
  <si>
    <t>2020-21</t>
  </si>
  <si>
    <t>2021-22</t>
  </si>
  <si>
    <t>2022-23</t>
  </si>
  <si>
    <t>Lab Fees</t>
  </si>
  <si>
    <t>Tuition (PT 7 credits)</t>
  </si>
  <si>
    <t>General Fee (less accident insurance for FT)</t>
  </si>
  <si>
    <t>Registration Fee (Summer &amp; PT)</t>
  </si>
  <si>
    <t>Excess 18 credits fee (1 credit)</t>
  </si>
  <si>
    <t>SUMMER</t>
  </si>
  <si>
    <t>SUMMER PER CREDIT VALUE</t>
  </si>
  <si>
    <t>FY 19 composite fringe rate</t>
  </si>
  <si>
    <r>
      <t>1</t>
    </r>
    <r>
      <rPr>
        <sz val="7"/>
        <color theme="1"/>
        <rFont val="Times New Roman"/>
        <family val="1"/>
      </rPr>
      <t xml:space="preserve">       </t>
    </r>
    <r>
      <rPr>
        <sz val="10"/>
        <color theme="1"/>
        <rFont val="Times New Roman"/>
        <family val="1"/>
      </rPr>
      <t>1 FTE = 15 credit hours for undergraduate programs; 1 FTE = 12 credit hours for graduate programs; both for Fall &amp; Spring</t>
    </r>
  </si>
  <si>
    <t>Salary in 2019-2020</t>
  </si>
  <si>
    <t>Total Salary for FT Faculty Member</t>
  </si>
  <si>
    <t>per credit expense for FT Faculty</t>
  </si>
  <si>
    <t>Percentage Direct Support</t>
  </si>
  <si>
    <t>Total Salary</t>
  </si>
  <si>
    <t>Expense Scaled by Percentage</t>
  </si>
  <si>
    <t>Percentage increase</t>
  </si>
  <si>
    <t>Curricular Development</t>
  </si>
  <si>
    <t>Marketing</t>
  </si>
  <si>
    <t>Associate Professor per credit</t>
  </si>
  <si>
    <t>Revenue</t>
  </si>
  <si>
    <t>Per capita rates</t>
  </si>
  <si>
    <t># of summer credits</t>
  </si>
  <si>
    <t>73.28% Fringe</t>
  </si>
  <si>
    <t>AY20-21 Class C</t>
  </si>
  <si>
    <t>FY 20 composite fringe rate</t>
  </si>
  <si>
    <t>Median Department rate</t>
  </si>
  <si>
    <t>AY20-21 - Associate Professor</t>
  </si>
  <si>
    <t>General fees are less accident insurance ($45) and parking garage fee (62.50)</t>
  </si>
  <si>
    <t>Electrical Engineering - 11/11/19</t>
  </si>
  <si>
    <t>PT (8 credits) NUMBER OF FACULTY</t>
  </si>
  <si>
    <t>FULL-TIME PER CREDIT VALUE</t>
  </si>
  <si>
    <t>Lab Technician</t>
  </si>
  <si>
    <t>Faculty Reassignment</t>
  </si>
  <si>
    <t>Salary</t>
  </si>
  <si>
    <t>45% fringe</t>
  </si>
  <si>
    <t>Total wages</t>
  </si>
  <si>
    <t>Total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</si>
</sst>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mm/dd/yy;@"/>
    <numFmt numFmtId="165" formatCode="0.0%"/>
    <numFmt numFmtId="166" formatCode="_(&quot;$&quot;* #,##0_);_(&quot;$&quot;* \(#,##0\);_(&quot;$&quot;* &quot;-&quot;??_);_(@_)"/>
    <numFmt numFmtId="167" formatCode="&quot;$&quot;#,##0"/>
    <numFmt numFmtId="168" formatCode="&quot;$&quot;#,##0.00"/>
    <numFmt numFmtId="169" formatCode="0.0"/>
  </numFmts>
  <fonts count="24" x14ac:knownFonts="1">
    <font>
      <sz val="11"/>
      <color theme="1"/>
      <name val="Calibri"/>
      <family val="2"/>
      <scheme val="minor"/>
    </font>
    <font>
      <b/>
      <sz val="10"/>
      <color theme="1"/>
      <name val="Times New Roman"/>
      <family val="1"/>
    </font>
    <font>
      <sz val="10"/>
      <color theme="1"/>
      <name val="Times New Roman"/>
      <family val="1"/>
    </font>
    <font>
      <b/>
      <u/>
      <sz val="10"/>
      <color theme="1"/>
      <name val="Times New Roman"/>
      <family val="1"/>
    </font>
    <font>
      <u/>
      <sz val="10"/>
      <color theme="1"/>
      <name val="Times New Roman"/>
      <family val="1"/>
    </font>
    <font>
      <sz val="11"/>
      <color theme="1"/>
      <name val="Calibri"/>
      <family val="2"/>
      <scheme val="minor"/>
    </font>
    <font>
      <sz val="12"/>
      <color theme="1"/>
      <name val="Times New Roman"/>
      <family val="1"/>
    </font>
    <font>
      <b/>
      <sz val="12"/>
      <color theme="1"/>
      <name val="Times New Roman"/>
      <family val="1"/>
    </font>
    <font>
      <sz val="12"/>
      <name val="Times New Roman"/>
      <family val="1"/>
    </font>
    <font>
      <sz val="10"/>
      <name val="Arial Unicode MS"/>
      <family val="2"/>
    </font>
    <font>
      <sz val="12"/>
      <color rgb="FFC00000"/>
      <name val="Times New Roman"/>
      <family val="1"/>
    </font>
    <font>
      <sz val="12"/>
      <color theme="4" tint="-0.249977111117893"/>
      <name val="Times New Roman"/>
      <family val="1"/>
    </font>
    <font>
      <sz val="12"/>
      <color rgb="FFFF0000"/>
      <name val="Times New Roman"/>
      <family val="1"/>
    </font>
    <font>
      <sz val="10"/>
      <color rgb="FF0000CC"/>
      <name val="Arial Narrow"/>
      <family val="2"/>
    </font>
    <font>
      <sz val="10"/>
      <name val="Arial"/>
      <family val="2"/>
    </font>
    <font>
      <b/>
      <sz val="10"/>
      <color rgb="FF000000"/>
      <name val="Times New Roman"/>
      <family val="1"/>
    </font>
    <font>
      <b/>
      <vertAlign val="superscript"/>
      <sz val="10"/>
      <color theme="1"/>
      <name val="Times New Roman"/>
      <family val="1"/>
    </font>
    <font>
      <vertAlign val="superscript"/>
      <sz val="10"/>
      <color theme="1"/>
      <name val="Times New Roman"/>
      <family val="1"/>
    </font>
    <font>
      <b/>
      <vertAlign val="superscript"/>
      <sz val="10"/>
      <color rgb="FF000000"/>
      <name val="Times New Roman"/>
      <family val="1"/>
    </font>
    <font>
      <sz val="10"/>
      <color rgb="FF4472C4"/>
      <name val="Times New Roman"/>
      <family val="1"/>
    </font>
    <font>
      <sz val="7"/>
      <color theme="1"/>
      <name val="Times New Roman"/>
      <family val="1"/>
    </font>
    <font>
      <sz val="10"/>
      <color rgb="FF1F497D"/>
      <name val="Times New Roman"/>
      <family val="1"/>
    </font>
    <font>
      <b/>
      <sz val="11"/>
      <color rgb="FFFF0000"/>
      <name val="Calibri"/>
      <family val="2"/>
      <scheme val="minor"/>
    </font>
    <font>
      <b/>
      <sz val="11"/>
      <color theme="1"/>
      <name val="Calibri"/>
      <family val="2"/>
      <scheme val="minor"/>
    </font>
  </fonts>
  <fills count="17">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1"/>
        <bgColor indexed="64"/>
      </patternFill>
    </fill>
    <fill>
      <patternFill patternType="solid">
        <fgColor theme="9" tint="0.79998168889431442"/>
        <bgColor indexed="64"/>
      </patternFill>
    </fill>
    <fill>
      <patternFill patternType="solid">
        <fgColor rgb="FF9CC2E5"/>
        <bgColor indexed="64"/>
      </patternFill>
    </fill>
    <fill>
      <patternFill patternType="solid">
        <fgColor rgb="FF0000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49998474074526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rgb="FFD6E3BC"/>
      </left>
      <right/>
      <top style="double">
        <color rgb="FFD6E3BC"/>
      </top>
      <bottom style="medium">
        <color rgb="FFD6E3BC"/>
      </bottom>
      <diagonal/>
    </border>
    <border>
      <left style="double">
        <color rgb="FFD6E3BC"/>
      </left>
      <right/>
      <top/>
      <bottom style="medium">
        <color rgb="FFD6E3BC"/>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bottom style="thick">
        <color indexed="64"/>
      </bottom>
      <diagonal/>
    </border>
    <border>
      <left/>
      <right/>
      <top/>
      <bottom style="thick">
        <color indexed="64"/>
      </bottom>
      <diagonal/>
    </border>
    <border>
      <left/>
      <right style="thick">
        <color indexed="64"/>
      </right>
      <top/>
      <bottom/>
      <diagonal/>
    </border>
    <border>
      <left style="thick">
        <color indexed="64"/>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s>
  <cellStyleXfs count="5">
    <xf numFmtId="0" fontId="0" fillId="0" borderId="0"/>
    <xf numFmtId="44" fontId="5" fillId="0" borderId="0" applyFont="0" applyFill="0" applyBorder="0" applyAlignment="0" applyProtection="0"/>
    <xf numFmtId="0" fontId="9" fillId="0" borderId="0"/>
    <xf numFmtId="0" fontId="14" fillId="0" borderId="0"/>
    <xf numFmtId="9" fontId="5" fillId="0" borderId="0" applyFont="0" applyFill="0" applyBorder="0" applyAlignment="0" applyProtection="0"/>
  </cellStyleXfs>
  <cellXfs count="353">
    <xf numFmtId="0" fontId="0" fillId="0" borderId="0" xfId="0"/>
    <xf numFmtId="0" fontId="1" fillId="0" borderId="0" xfId="0" applyFont="1"/>
    <xf numFmtId="0" fontId="2" fillId="0" borderId="0" xfId="0" applyFont="1"/>
    <xf numFmtId="37" fontId="2" fillId="0" borderId="0" xfId="0" applyNumberFormat="1" applyFont="1"/>
    <xf numFmtId="37" fontId="2" fillId="0" borderId="0" xfId="0" applyNumberFormat="1" applyFont="1" applyAlignment="1">
      <alignment horizontal="left"/>
    </xf>
    <xf numFmtId="37" fontId="2" fillId="3" borderId="0" xfId="0" applyNumberFormat="1" applyFont="1" applyFill="1"/>
    <xf numFmtId="37" fontId="3" fillId="0" borderId="0" xfId="0" applyNumberFormat="1" applyFont="1" applyAlignment="1">
      <alignment horizontal="center"/>
    </xf>
    <xf numFmtId="37" fontId="3" fillId="0" borderId="0" xfId="0" applyNumberFormat="1" applyFont="1" applyAlignment="1">
      <alignment horizontal="left"/>
    </xf>
    <xf numFmtId="37" fontId="3" fillId="3" borderId="0" xfId="0" applyNumberFormat="1" applyFont="1" applyFill="1" applyAlignment="1">
      <alignment horizontal="center"/>
    </xf>
    <xf numFmtId="0" fontId="1" fillId="0" borderId="0" xfId="0" applyFont="1" applyAlignment="1">
      <alignment horizontal="center"/>
    </xf>
    <xf numFmtId="0" fontId="1" fillId="0" borderId="4" xfId="0" applyFont="1" applyBorder="1" applyAlignment="1">
      <alignment horizontal="center"/>
    </xf>
    <xf numFmtId="0" fontId="1" fillId="0" borderId="1" xfId="0" applyFont="1" applyBorder="1" applyAlignment="1">
      <alignment horizontal="center"/>
    </xf>
    <xf numFmtId="0" fontId="3" fillId="0" borderId="0" xfId="0" applyFont="1"/>
    <xf numFmtId="37" fontId="2" fillId="0" borderId="0" xfId="0" applyNumberFormat="1" applyFont="1" applyFill="1"/>
    <xf numFmtId="0" fontId="2" fillId="0" borderId="0" xfId="0" applyFont="1" applyBorder="1"/>
    <xf numFmtId="37" fontId="2" fillId="0" borderId="2" xfId="0" applyNumberFormat="1" applyFont="1" applyBorder="1"/>
    <xf numFmtId="37" fontId="2" fillId="0" borderId="0" xfId="0" applyNumberFormat="1" applyFont="1" applyBorder="1"/>
    <xf numFmtId="37" fontId="2" fillId="0" borderId="2" xfId="0" applyNumberFormat="1" applyFont="1" applyFill="1" applyBorder="1"/>
    <xf numFmtId="37" fontId="2" fillId="0" borderId="0" xfId="0" applyNumberFormat="1" applyFont="1" applyFill="1" applyBorder="1" applyAlignment="1">
      <alignment horizontal="left"/>
    </xf>
    <xf numFmtId="37" fontId="2" fillId="3" borderId="0" xfId="0" applyNumberFormat="1" applyFont="1" applyFill="1" applyBorder="1"/>
    <xf numFmtId="37" fontId="2" fillId="0" borderId="0" xfId="0" applyNumberFormat="1" applyFont="1" applyBorder="1" applyAlignment="1">
      <alignment horizontal="left"/>
    </xf>
    <xf numFmtId="0" fontId="2" fillId="0" borderId="4" xfId="0" applyFont="1" applyBorder="1"/>
    <xf numFmtId="37" fontId="2" fillId="0" borderId="3" xfId="0" applyNumberFormat="1" applyFont="1" applyBorder="1"/>
    <xf numFmtId="37" fontId="2" fillId="0" borderId="0" xfId="0" applyNumberFormat="1" applyFont="1" applyFill="1" applyAlignment="1">
      <alignment horizontal="left"/>
    </xf>
    <xf numFmtId="0" fontId="2" fillId="0" borderId="0" xfId="0" applyFont="1" applyFill="1"/>
    <xf numFmtId="0" fontId="4" fillId="0" borderId="0" xfId="0" applyFont="1"/>
    <xf numFmtId="165" fontId="2" fillId="0" borderId="0" xfId="0" applyNumberFormat="1" applyFont="1"/>
    <xf numFmtId="165" fontId="4" fillId="0" borderId="0" xfId="0" applyNumberFormat="1" applyFont="1" applyAlignment="1">
      <alignment horizontal="center"/>
    </xf>
    <xf numFmtId="37" fontId="2" fillId="0" borderId="0" xfId="0" applyNumberFormat="1" applyFont="1" applyAlignment="1">
      <alignment horizontal="center"/>
    </xf>
    <xf numFmtId="165" fontId="2" fillId="0" borderId="0" xfId="0" applyNumberFormat="1" applyFont="1" applyAlignment="1">
      <alignment horizontal="center"/>
    </xf>
    <xf numFmtId="37" fontId="2" fillId="2" borderId="0" xfId="0" applyNumberFormat="1" applyFont="1" applyFill="1" applyAlignment="1">
      <alignment horizontal="center"/>
    </xf>
    <xf numFmtId="37" fontId="2" fillId="3" borderId="0" xfId="0" applyNumberFormat="1" applyFont="1" applyFill="1" applyAlignment="1">
      <alignment horizontal="center"/>
    </xf>
    <xf numFmtId="165" fontId="2" fillId="0" borderId="0" xfId="0" applyNumberFormat="1" applyFont="1" applyFill="1"/>
    <xf numFmtId="164" fontId="2" fillId="0" borderId="0" xfId="0" applyNumberFormat="1" applyFont="1" applyAlignment="1">
      <alignment horizontal="left"/>
    </xf>
    <xf numFmtId="0" fontId="6" fillId="0" borderId="0" xfId="0" applyFont="1"/>
    <xf numFmtId="0" fontId="6" fillId="0" borderId="0" xfId="0" applyFont="1" applyAlignment="1">
      <alignment horizontal="center"/>
    </xf>
    <xf numFmtId="0" fontId="6" fillId="5" borderId="3" xfId="0" applyFont="1" applyFill="1" applyBorder="1"/>
    <xf numFmtId="166" fontId="6" fillId="0" borderId="0" xfId="0" applyNumberFormat="1" applyFont="1"/>
    <xf numFmtId="0" fontId="6" fillId="0" borderId="5" xfId="0" applyFont="1" applyBorder="1"/>
    <xf numFmtId="0" fontId="6" fillId="0" borderId="6" xfId="0" applyFont="1" applyBorder="1"/>
    <xf numFmtId="0" fontId="6" fillId="0" borderId="7" xfId="0" applyFont="1" applyBorder="1"/>
    <xf numFmtId="0" fontId="6" fillId="0" borderId="8" xfId="0" applyFont="1" applyBorder="1"/>
    <xf numFmtId="0" fontId="6" fillId="0" borderId="0" xfId="0" applyFont="1" applyBorder="1" applyAlignment="1">
      <alignment horizontal="center"/>
    </xf>
    <xf numFmtId="0" fontId="6" fillId="0" borderId="9" xfId="0" applyFont="1" applyBorder="1" applyAlignment="1">
      <alignment horizontal="center"/>
    </xf>
    <xf numFmtId="166" fontId="6" fillId="4" borderId="0" xfId="1" applyNumberFormat="1" applyFont="1" applyFill="1" applyBorder="1"/>
    <xf numFmtId="166" fontId="6" fillId="0" borderId="0" xfId="1" applyNumberFormat="1" applyFont="1" applyBorder="1"/>
    <xf numFmtId="166" fontId="6" fillId="0" borderId="9" xfId="1" applyNumberFormat="1" applyFont="1" applyBorder="1"/>
    <xf numFmtId="0" fontId="6" fillId="4" borderId="0" xfId="0" applyFont="1" applyFill="1" applyBorder="1"/>
    <xf numFmtId="0" fontId="6" fillId="0" borderId="0" xfId="0" applyFont="1" applyBorder="1"/>
    <xf numFmtId="0" fontId="6" fillId="0" borderId="9" xfId="0" applyFont="1" applyBorder="1"/>
    <xf numFmtId="0" fontId="6" fillId="0" borderId="10" xfId="0" applyFont="1" applyBorder="1"/>
    <xf numFmtId="166" fontId="6" fillId="0" borderId="11" xfId="1" applyNumberFormat="1" applyFont="1" applyBorder="1"/>
    <xf numFmtId="166" fontId="6" fillId="0" borderId="12" xfId="1" applyNumberFormat="1" applyFont="1" applyBorder="1"/>
    <xf numFmtId="0" fontId="6" fillId="6" borderId="0" xfId="0" applyFont="1" applyFill="1" applyBorder="1"/>
    <xf numFmtId="0" fontId="6" fillId="6" borderId="0" xfId="0" applyFont="1" applyFill="1" applyBorder="1" applyAlignment="1">
      <alignment horizontal="center" vertical="center" wrapText="1"/>
    </xf>
    <xf numFmtId="0" fontId="6" fillId="0" borderId="0" xfId="0" applyFont="1" applyBorder="1" applyAlignment="1">
      <alignment horizontal="right"/>
    </xf>
    <xf numFmtId="167" fontId="6" fillId="6" borderId="0" xfId="0" applyNumberFormat="1" applyFont="1" applyFill="1" applyBorder="1"/>
    <xf numFmtId="6" fontId="6" fillId="6" borderId="0" xfId="0" applyNumberFormat="1" applyFont="1" applyFill="1" applyBorder="1"/>
    <xf numFmtId="0" fontId="6" fillId="0" borderId="0" xfId="0" applyNumberFormat="1" applyFont="1" applyFill="1" applyBorder="1" applyProtection="1">
      <protection locked="0"/>
    </xf>
    <xf numFmtId="5" fontId="8" fillId="0" borderId="0" xfId="2" applyNumberFormat="1" applyFont="1" applyFill="1" applyBorder="1" applyAlignment="1">
      <alignment horizontal="right" vertical="center" wrapText="1"/>
    </xf>
    <xf numFmtId="0" fontId="6" fillId="0" borderId="0" xfId="0" applyFont="1" applyBorder="1" applyAlignment="1">
      <alignment horizontal="center" vertical="center" wrapText="1"/>
    </xf>
    <xf numFmtId="167" fontId="6" fillId="0" borderId="0" xfId="0" applyNumberFormat="1" applyFont="1" applyBorder="1"/>
    <xf numFmtId="0" fontId="6" fillId="0" borderId="9" xfId="0" applyFont="1" applyBorder="1" applyAlignment="1">
      <alignment wrapText="1"/>
    </xf>
    <xf numFmtId="168" fontId="6" fillId="4" borderId="8" xfId="0" applyNumberFormat="1" applyFont="1" applyFill="1" applyBorder="1"/>
    <xf numFmtId="167" fontId="6" fillId="7" borderId="0" xfId="0" applyNumberFormat="1" applyFont="1" applyFill="1" applyBorder="1"/>
    <xf numFmtId="167" fontId="10" fillId="0" borderId="0" xfId="0" applyNumberFormat="1" applyFont="1" applyBorder="1"/>
    <xf numFmtId="168" fontId="6" fillId="0" borderId="0" xfId="0" applyNumberFormat="1" applyFont="1" applyBorder="1" applyAlignment="1">
      <alignment horizontal="center"/>
    </xf>
    <xf numFmtId="168" fontId="6" fillId="0" borderId="0" xfId="0" applyNumberFormat="1" applyFont="1" applyBorder="1"/>
    <xf numFmtId="0" fontId="6" fillId="0" borderId="11" xfId="0" applyFont="1" applyBorder="1"/>
    <xf numFmtId="0" fontId="6" fillId="0" borderId="12" xfId="0" applyFont="1" applyBorder="1"/>
    <xf numFmtId="0" fontId="6" fillId="8" borderId="0" xfId="0" applyFont="1" applyFill="1" applyBorder="1" applyAlignment="1">
      <alignment horizontal="left" wrapText="1"/>
    </xf>
    <xf numFmtId="0" fontId="6" fillId="8" borderId="16" xfId="0" applyFont="1" applyFill="1" applyBorder="1" applyAlignment="1">
      <alignment horizontal="left" wrapText="1"/>
    </xf>
    <xf numFmtId="0" fontId="6" fillId="0" borderId="0" xfId="0" applyFont="1" applyBorder="1" applyAlignment="1">
      <alignment wrapText="1"/>
    </xf>
    <xf numFmtId="0" fontId="6" fillId="5" borderId="8" xfId="0" applyFont="1" applyFill="1" applyBorder="1"/>
    <xf numFmtId="0" fontId="6" fillId="0" borderId="0" xfId="0" applyFont="1" applyFill="1" applyBorder="1"/>
    <xf numFmtId="8" fontId="6" fillId="5" borderId="8" xfId="0" applyNumberFormat="1" applyFont="1" applyFill="1" applyBorder="1"/>
    <xf numFmtId="6" fontId="11" fillId="0" borderId="0" xfId="0" applyNumberFormat="1" applyFont="1" applyFill="1" applyBorder="1"/>
    <xf numFmtId="6" fontId="6" fillId="7" borderId="0" xfId="0" applyNumberFormat="1" applyFont="1" applyFill="1" applyBorder="1"/>
    <xf numFmtId="9" fontId="6" fillId="0" borderId="0" xfId="0" applyNumberFormat="1" applyFont="1" applyBorder="1"/>
    <xf numFmtId="0" fontId="6" fillId="0" borderId="11" xfId="0" applyFont="1" applyFill="1" applyBorder="1"/>
    <xf numFmtId="6" fontId="6" fillId="0" borderId="11" xfId="0" applyNumberFormat="1" applyFont="1" applyFill="1" applyBorder="1"/>
    <xf numFmtId="167" fontId="6" fillId="4" borderId="1" xfId="0" applyNumberFormat="1" applyFont="1" applyFill="1" applyBorder="1" applyAlignment="1"/>
    <xf numFmtId="168" fontId="6" fillId="4" borderId="1" xfId="0" applyNumberFormat="1" applyFont="1" applyFill="1" applyBorder="1" applyAlignment="1"/>
    <xf numFmtId="167" fontId="6" fillId="5" borderId="1" xfId="0" applyNumberFormat="1" applyFont="1" applyFill="1" applyBorder="1" applyAlignment="1"/>
    <xf numFmtId="168" fontId="6" fillId="5" borderId="1" xfId="0" applyNumberFormat="1" applyFont="1" applyFill="1" applyBorder="1" applyAlignment="1"/>
    <xf numFmtId="8" fontId="6" fillId="0" borderId="0" xfId="0" applyNumberFormat="1" applyFont="1" applyBorder="1"/>
    <xf numFmtId="6" fontId="6" fillId="0" borderId="0" xfId="0" applyNumberFormat="1" applyFont="1" applyBorder="1" applyAlignment="1">
      <alignment horizontal="center" vertical="center" wrapText="1"/>
    </xf>
    <xf numFmtId="0" fontId="6" fillId="0" borderId="5" xfId="0" applyFont="1" applyBorder="1" applyAlignment="1">
      <alignment horizontal="right" vertical="center" wrapText="1"/>
    </xf>
    <xf numFmtId="0" fontId="6" fillId="0" borderId="10" xfId="0" applyFont="1" applyBorder="1" applyAlignment="1">
      <alignment horizontal="right" vertical="center" wrapText="1"/>
    </xf>
    <xf numFmtId="0" fontId="6" fillId="0" borderId="5" xfId="0" applyFont="1" applyFill="1" applyBorder="1" applyAlignment="1">
      <alignment horizontal="right" vertical="center" wrapText="1"/>
    </xf>
    <xf numFmtId="0" fontId="6" fillId="0" borderId="10" xfId="0" applyFont="1" applyFill="1" applyBorder="1" applyAlignment="1">
      <alignment horizontal="right" vertical="center" wrapText="1"/>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Fill="1" applyBorder="1" applyAlignment="1">
      <alignment horizontal="center" vertical="center" wrapText="1"/>
    </xf>
    <xf numFmtId="0" fontId="7" fillId="6" borderId="0" xfId="0" applyFont="1" applyFill="1" applyBorder="1"/>
    <xf numFmtId="0" fontId="6" fillId="0" borderId="6" xfId="0" applyFont="1" applyBorder="1" applyAlignment="1">
      <alignment horizontal="center"/>
    </xf>
    <xf numFmtId="0" fontId="6" fillId="0" borderId="11" xfId="0" applyFont="1" applyBorder="1" applyAlignment="1">
      <alignment horizontal="center"/>
    </xf>
    <xf numFmtId="167" fontId="6" fillId="0" borderId="3" xfId="0" applyNumberFormat="1" applyFont="1" applyBorder="1"/>
    <xf numFmtId="166" fontId="6" fillId="5" borderId="3" xfId="1" applyNumberFormat="1" applyFont="1" applyFill="1" applyBorder="1"/>
    <xf numFmtId="166" fontId="6" fillId="0" borderId="0" xfId="1" applyNumberFormat="1" applyFont="1"/>
    <xf numFmtId="0" fontId="7" fillId="0" borderId="0" xfId="0" applyFont="1"/>
    <xf numFmtId="166" fontId="6" fillId="4" borderId="0" xfId="0" applyNumberFormat="1" applyFont="1" applyFill="1"/>
    <xf numFmtId="0" fontId="7" fillId="6" borderId="6" xfId="0" applyFont="1" applyFill="1" applyBorder="1" applyAlignment="1">
      <alignment horizontal="center"/>
    </xf>
    <xf numFmtId="0" fontId="6" fillId="6" borderId="0" xfId="0" applyFont="1" applyFill="1" applyBorder="1" applyAlignment="1">
      <alignment horizontal="center"/>
    </xf>
    <xf numFmtId="166" fontId="6" fillId="6" borderId="0" xfId="1" applyNumberFormat="1" applyFont="1" applyFill="1" applyBorder="1"/>
    <xf numFmtId="166" fontId="6" fillId="6" borderId="11" xfId="1" applyNumberFormat="1" applyFont="1" applyFill="1" applyBorder="1"/>
    <xf numFmtId="0" fontId="12" fillId="0" borderId="5" xfId="0" applyFont="1" applyBorder="1"/>
    <xf numFmtId="0" fontId="12" fillId="0" borderId="6" xfId="0" applyFont="1" applyBorder="1" applyAlignment="1">
      <alignment horizontal="center"/>
    </xf>
    <xf numFmtId="0" fontId="12" fillId="0" borderId="7" xfId="0" applyFont="1" applyBorder="1" applyAlignment="1">
      <alignment horizontal="center"/>
    </xf>
    <xf numFmtId="0" fontId="12" fillId="0" borderId="10" xfId="0" applyFont="1" applyBorder="1"/>
    <xf numFmtId="0" fontId="12" fillId="0" borderId="11" xfId="0" applyFont="1" applyBorder="1"/>
    <xf numFmtId="0" fontId="12" fillId="0" borderId="12" xfId="0" applyFont="1" applyBorder="1"/>
    <xf numFmtId="0" fontId="12" fillId="0" borderId="0" xfId="0" applyFont="1"/>
    <xf numFmtId="166" fontId="12" fillId="0" borderId="0" xfId="0" applyNumberFormat="1" applyFont="1"/>
    <xf numFmtId="166" fontId="12" fillId="0" borderId="0" xfId="1" applyNumberFormat="1" applyFont="1"/>
    <xf numFmtId="166" fontId="12" fillId="0" borderId="3" xfId="0" applyNumberFormat="1" applyFont="1" applyBorder="1"/>
    <xf numFmtId="37" fontId="2" fillId="0" borderId="0" xfId="0" applyNumberFormat="1" applyFont="1" applyFill="1" applyBorder="1"/>
    <xf numFmtId="37" fontId="2" fillId="4" borderId="0" xfId="0" applyNumberFormat="1" applyFont="1" applyFill="1"/>
    <xf numFmtId="37" fontId="2" fillId="4" borderId="3" xfId="0" applyNumberFormat="1" applyFont="1" applyFill="1" applyBorder="1"/>
    <xf numFmtId="37" fontId="2" fillId="4" borderId="2" xfId="0" applyNumberFormat="1" applyFont="1" applyFill="1" applyBorder="1"/>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5" fontId="0" fillId="0" borderId="0" xfId="2" applyNumberFormat="1" applyFont="1" applyAlignment="1">
      <alignment horizontal="right" vertical="center" wrapText="1"/>
    </xf>
    <xf numFmtId="5" fontId="0" fillId="0" borderId="0" xfId="3" applyNumberFormat="1" applyFont="1" applyAlignment="1">
      <alignment horizontal="right" vertical="center"/>
    </xf>
    <xf numFmtId="5" fontId="6" fillId="0" borderId="0" xfId="0" applyNumberFormat="1" applyFont="1"/>
    <xf numFmtId="7" fontId="6" fillId="0" borderId="0" xfId="0" applyNumberFormat="1" applyFont="1"/>
    <xf numFmtId="167" fontId="6" fillId="0" borderId="0" xfId="0" applyNumberFormat="1" applyFont="1"/>
    <xf numFmtId="0" fontId="1" fillId="10" borderId="22" xfId="0" applyFont="1" applyFill="1" applyBorder="1" applyAlignment="1">
      <alignment vertical="center" wrapText="1"/>
    </xf>
    <xf numFmtId="0" fontId="15" fillId="10" borderId="23" xfId="0" applyFont="1" applyFill="1" applyBorder="1" applyAlignment="1">
      <alignment horizontal="center" vertical="center" wrapText="1"/>
    </xf>
    <xf numFmtId="0" fontId="0" fillId="10" borderId="24" xfId="0" applyFill="1" applyBorder="1" applyAlignment="1">
      <alignment vertical="top" wrapText="1"/>
    </xf>
    <xf numFmtId="0" fontId="2" fillId="0" borderId="27" xfId="0" applyFont="1" applyBorder="1" applyAlignment="1">
      <alignment horizontal="center" vertical="center" wrapText="1"/>
    </xf>
    <xf numFmtId="0" fontId="2" fillId="0" borderId="24" xfId="0" applyFont="1" applyBorder="1" applyAlignment="1">
      <alignment vertical="center" wrapText="1"/>
    </xf>
    <xf numFmtId="0" fontId="2" fillId="0" borderId="24" xfId="0" applyFont="1" applyBorder="1" applyAlignment="1">
      <alignment horizontal="right" vertical="center" wrapText="1"/>
    </xf>
    <xf numFmtId="0" fontId="1" fillId="0" borderId="24" xfId="0" applyFont="1" applyBorder="1" applyAlignment="1">
      <alignment horizontal="right" vertical="center" wrapText="1"/>
    </xf>
    <xf numFmtId="0" fontId="1" fillId="10" borderId="23" xfId="0" applyFont="1" applyFill="1" applyBorder="1" applyAlignment="1">
      <alignment vertical="center" wrapText="1"/>
    </xf>
    <xf numFmtId="0" fontId="6" fillId="0" borderId="27" xfId="0" applyFont="1" applyBorder="1" applyAlignment="1">
      <alignment horizontal="center" vertical="center" wrapText="1"/>
    </xf>
    <xf numFmtId="0" fontId="2" fillId="0" borderId="0" xfId="0" applyFont="1" applyFill="1" applyBorder="1" applyAlignment="1">
      <alignment vertical="center" wrapText="1"/>
    </xf>
    <xf numFmtId="0" fontId="1" fillId="0" borderId="35" xfId="0" applyFont="1" applyBorder="1" applyAlignment="1">
      <alignment horizontal="right" vertical="center" wrapText="1"/>
    </xf>
    <xf numFmtId="0" fontId="6" fillId="0" borderId="29" xfId="0" applyFont="1" applyBorder="1" applyAlignment="1">
      <alignment horizontal="center" vertical="center" wrapText="1"/>
    </xf>
    <xf numFmtId="167" fontId="2" fillId="0" borderId="27" xfId="0" applyNumberFormat="1" applyFont="1" applyBorder="1" applyAlignment="1">
      <alignment vertical="center" wrapText="1"/>
    </xf>
    <xf numFmtId="0" fontId="6" fillId="12" borderId="5" xfId="0" applyFont="1" applyFill="1" applyBorder="1"/>
    <xf numFmtId="5" fontId="6" fillId="0" borderId="11" xfId="0" applyNumberFormat="1" applyFont="1" applyBorder="1"/>
    <xf numFmtId="5" fontId="6" fillId="0" borderId="12" xfId="0" applyNumberFormat="1" applyFont="1" applyBorder="1"/>
    <xf numFmtId="0" fontId="6" fillId="12" borderId="37" xfId="0" applyFont="1" applyFill="1" applyBorder="1" applyAlignment="1">
      <alignment horizontal="center"/>
    </xf>
    <xf numFmtId="0" fontId="6" fillId="12" borderId="36" xfId="0" applyFont="1" applyFill="1" applyBorder="1" applyAlignment="1">
      <alignment horizontal="center"/>
    </xf>
    <xf numFmtId="167" fontId="6" fillId="0" borderId="0" xfId="0" applyNumberFormat="1" applyFont="1" applyAlignment="1">
      <alignment horizontal="center"/>
    </xf>
    <xf numFmtId="0" fontId="0" fillId="0" borderId="8" xfId="3" applyFont="1" applyBorder="1" applyProtection="1">
      <protection locked="0"/>
    </xf>
    <xf numFmtId="9" fontId="6" fillId="0" borderId="0" xfId="4" applyFont="1" applyBorder="1"/>
    <xf numFmtId="167" fontId="6" fillId="0" borderId="0" xfId="0" applyNumberFormat="1" applyFont="1" applyBorder="1" applyAlignment="1">
      <alignment horizontal="center"/>
    </xf>
    <xf numFmtId="167" fontId="6" fillId="0" borderId="9" xfId="0" applyNumberFormat="1" applyFont="1" applyBorder="1" applyAlignment="1">
      <alignment horizontal="center"/>
    </xf>
    <xf numFmtId="167" fontId="6" fillId="0" borderId="11" xfId="0" applyNumberFormat="1" applyFont="1" applyBorder="1"/>
    <xf numFmtId="0" fontId="7" fillId="13" borderId="38" xfId="0" applyFont="1" applyFill="1" applyBorder="1"/>
    <xf numFmtId="0" fontId="6" fillId="13" borderId="37" xfId="0" applyFont="1" applyFill="1" applyBorder="1"/>
    <xf numFmtId="0" fontId="7" fillId="13" borderId="37" xfId="0" applyFont="1" applyFill="1" applyBorder="1" applyAlignment="1">
      <alignment horizontal="center"/>
    </xf>
    <xf numFmtId="0" fontId="7" fillId="13" borderId="36" xfId="0" applyFont="1" applyFill="1" applyBorder="1" applyAlignment="1">
      <alignment horizontal="center"/>
    </xf>
    <xf numFmtId="167" fontId="6" fillId="0" borderId="2" xfId="0" applyNumberFormat="1" applyFont="1" applyBorder="1"/>
    <xf numFmtId="0" fontId="7" fillId="0" borderId="39" xfId="0" applyFont="1" applyBorder="1" applyAlignment="1">
      <alignment horizontal="right"/>
    </xf>
    <xf numFmtId="167" fontId="6" fillId="13" borderId="11" xfId="0" applyNumberFormat="1" applyFont="1" applyFill="1" applyBorder="1" applyAlignment="1">
      <alignment horizontal="center"/>
    </xf>
    <xf numFmtId="167" fontId="6" fillId="13" borderId="12" xfId="0" applyNumberFormat="1" applyFont="1" applyFill="1" applyBorder="1" applyAlignment="1">
      <alignment horizontal="center"/>
    </xf>
    <xf numFmtId="167" fontId="6" fillId="0" borderId="10" xfId="1" applyNumberFormat="1" applyFont="1" applyBorder="1" applyAlignment="1">
      <alignment horizontal="center"/>
    </xf>
    <xf numFmtId="167" fontId="6" fillId="0" borderId="11" xfId="1" applyNumberFormat="1" applyFont="1" applyBorder="1" applyAlignment="1">
      <alignment horizontal="center"/>
    </xf>
    <xf numFmtId="167" fontId="6" fillId="0" borderId="12" xfId="1" applyNumberFormat="1" applyFont="1" applyBorder="1" applyAlignment="1">
      <alignment horizontal="center"/>
    </xf>
    <xf numFmtId="0" fontId="7" fillId="14" borderId="38" xfId="0" applyFont="1" applyFill="1" applyBorder="1" applyAlignment="1">
      <alignment horizontal="left"/>
    </xf>
    <xf numFmtId="0" fontId="7" fillId="14" borderId="37" xfId="0" applyFont="1" applyFill="1" applyBorder="1" applyAlignment="1">
      <alignment horizontal="center"/>
    </xf>
    <xf numFmtId="0" fontId="7" fillId="14" borderId="36" xfId="0" applyFont="1" applyFill="1" applyBorder="1" applyAlignment="1">
      <alignment horizontal="center"/>
    </xf>
    <xf numFmtId="167" fontId="6" fillId="0" borderId="9" xfId="0" applyNumberFormat="1" applyFont="1" applyBorder="1"/>
    <xf numFmtId="167" fontId="6" fillId="0" borderId="12" xfId="0" applyNumberFormat="1" applyFont="1" applyBorder="1"/>
    <xf numFmtId="0" fontId="7" fillId="15" borderId="38" xfId="0" applyFont="1" applyFill="1" applyBorder="1"/>
    <xf numFmtId="0" fontId="7" fillId="15" borderId="37" xfId="0" applyFont="1" applyFill="1" applyBorder="1" applyAlignment="1">
      <alignment horizontal="center"/>
    </xf>
    <xf numFmtId="0" fontId="7" fillId="15" borderId="36" xfId="0" applyFont="1" applyFill="1" applyBorder="1" applyAlignment="1">
      <alignment horizontal="center"/>
    </xf>
    <xf numFmtId="0" fontId="7" fillId="0" borderId="10" xfId="0" applyFont="1" applyBorder="1" applyAlignment="1">
      <alignment horizontal="right"/>
    </xf>
    <xf numFmtId="0" fontId="6" fillId="0" borderId="0" xfId="0" applyFont="1" applyBorder="1" applyAlignment="1">
      <alignment horizontal="center" vertical="center"/>
    </xf>
    <xf numFmtId="0" fontId="6" fillId="0" borderId="0" xfId="0" applyFont="1" applyFill="1" applyBorder="1" applyAlignment="1">
      <alignment horizontal="center" vertical="center" wrapText="1"/>
    </xf>
    <xf numFmtId="0" fontId="6" fillId="0" borderId="5" xfId="0" applyFont="1" applyBorder="1" applyAlignment="1">
      <alignment horizontal="center"/>
    </xf>
    <xf numFmtId="0" fontId="6" fillId="0" borderId="7" xfId="0" applyFont="1" applyBorder="1" applyAlignment="1">
      <alignment horizont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7" fillId="5" borderId="8" xfId="0" applyFont="1" applyFill="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5" borderId="10" xfId="0" applyFont="1" applyFill="1" applyBorder="1" applyAlignment="1">
      <alignment horizontal="center" vertical="center"/>
    </xf>
    <xf numFmtId="0" fontId="6" fillId="5" borderId="12"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7" xfId="0" applyFont="1" applyFill="1" applyBorder="1" applyAlignment="1">
      <alignment horizontal="center" vertical="center"/>
    </xf>
    <xf numFmtId="0" fontId="6" fillId="5" borderId="11" xfId="0" applyFont="1" applyFill="1" applyBorder="1" applyAlignment="1">
      <alignment horizontal="center" vertical="center"/>
    </xf>
    <xf numFmtId="0" fontId="6" fillId="8" borderId="11" xfId="0" applyFont="1" applyFill="1" applyBorder="1" applyAlignment="1">
      <alignment horizontal="center" vertical="center"/>
    </xf>
    <xf numFmtId="0" fontId="7" fillId="8" borderId="12" xfId="0" applyFont="1" applyFill="1" applyBorder="1" applyAlignment="1">
      <alignment horizontal="center" vertical="center"/>
    </xf>
    <xf numFmtId="0" fontId="6" fillId="4" borderId="7" xfId="0" applyFont="1" applyFill="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7" fillId="5" borderId="10"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4" borderId="42" xfId="0" applyFont="1" applyFill="1" applyBorder="1" applyAlignment="1">
      <alignment horizontal="center"/>
    </xf>
    <xf numFmtId="0" fontId="6" fillId="5" borderId="43" xfId="0" applyFont="1" applyFill="1" applyBorder="1" applyAlignment="1">
      <alignment horizontal="center"/>
    </xf>
    <xf numFmtId="0" fontId="6" fillId="4" borderId="42" xfId="0" applyFont="1" applyFill="1" applyBorder="1" applyAlignment="1">
      <alignment horizontal="center"/>
    </xf>
    <xf numFmtId="2" fontId="6" fillId="8" borderId="44" xfId="0" applyNumberFormat="1" applyFont="1" applyFill="1" applyBorder="1" applyAlignment="1">
      <alignment horizontal="center"/>
    </xf>
    <xf numFmtId="2" fontId="6" fillId="8" borderId="45" xfId="0" applyNumberFormat="1" applyFont="1" applyFill="1" applyBorder="1" applyAlignment="1">
      <alignment horizontal="center"/>
    </xf>
    <xf numFmtId="0" fontId="0" fillId="0" borderId="0" xfId="0" applyBorder="1"/>
    <xf numFmtId="0" fontId="0" fillId="0" borderId="9" xfId="0" applyBorder="1"/>
    <xf numFmtId="0" fontId="0" fillId="0" borderId="10" xfId="0" applyBorder="1"/>
    <xf numFmtId="0" fontId="0" fillId="0" borderId="12" xfId="0" applyBorder="1"/>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12" xfId="0" applyFont="1" applyBorder="1" applyAlignment="1">
      <alignment vertical="center" wrapText="1"/>
    </xf>
    <xf numFmtId="0" fontId="2" fillId="0" borderId="12" xfId="0" applyFont="1" applyFill="1" applyBorder="1" applyAlignment="1">
      <alignment vertical="center" wrapText="1"/>
    </xf>
    <xf numFmtId="0" fontId="2" fillId="0" borderId="9" xfId="0" applyFont="1" applyFill="1" applyBorder="1" applyAlignment="1">
      <alignment vertical="center" wrapText="1"/>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0"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169" fontId="0" fillId="0" borderId="8" xfId="0" applyNumberFormat="1" applyBorder="1" applyAlignment="1">
      <alignment horizontal="center" vertical="center"/>
    </xf>
    <xf numFmtId="169" fontId="0" fillId="0" borderId="0" xfId="0" applyNumberFormat="1" applyBorder="1" applyAlignment="1">
      <alignment horizontal="center" vertical="center"/>
    </xf>
    <xf numFmtId="169" fontId="0" fillId="0" borderId="9" xfId="0" applyNumberFormat="1" applyBorder="1" applyAlignment="1">
      <alignment horizontal="center" vertical="center"/>
    </xf>
    <xf numFmtId="167" fontId="0" fillId="0" borderId="8" xfId="0" applyNumberFormat="1" applyBorder="1" applyAlignment="1">
      <alignment vertical="center"/>
    </xf>
    <xf numFmtId="167" fontId="0" fillId="0" borderId="0" xfId="0" applyNumberFormat="1" applyBorder="1" applyAlignment="1">
      <alignment vertical="center"/>
    </xf>
    <xf numFmtId="167" fontId="0" fillId="0" borderId="9" xfId="0" applyNumberFormat="1" applyBorder="1" applyAlignment="1">
      <alignment vertical="center"/>
    </xf>
    <xf numFmtId="167" fontId="0" fillId="0" borderId="11" xfId="0" applyNumberFormat="1" applyBorder="1" applyAlignment="1">
      <alignment vertical="center"/>
    </xf>
    <xf numFmtId="167" fontId="0" fillId="0" borderId="12" xfId="0" applyNumberFormat="1" applyBorder="1" applyAlignment="1">
      <alignment vertical="center"/>
    </xf>
    <xf numFmtId="167" fontId="22" fillId="0" borderId="10" xfId="0" applyNumberFormat="1" applyFont="1" applyBorder="1" applyAlignment="1">
      <alignment vertical="center"/>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23" fillId="0" borderId="9" xfId="0" applyFont="1" applyBorder="1" applyAlignment="1">
      <alignment horizontal="center" vertical="center"/>
    </xf>
    <xf numFmtId="167" fontId="22" fillId="0" borderId="11" xfId="0" applyNumberFormat="1" applyFont="1" applyBorder="1" applyAlignment="1">
      <alignment vertical="center"/>
    </xf>
    <xf numFmtId="0" fontId="0" fillId="16" borderId="17" xfId="0" applyFill="1" applyBorder="1"/>
    <xf numFmtId="0" fontId="0" fillId="16" borderId="18" xfId="0" applyFill="1" applyBorder="1"/>
    <xf numFmtId="0" fontId="0" fillId="16" borderId="19" xfId="0" applyFill="1" applyBorder="1"/>
    <xf numFmtId="0" fontId="2" fillId="16" borderId="18" xfId="0" applyFont="1" applyFill="1" applyBorder="1" applyAlignment="1">
      <alignment vertical="center" wrapText="1"/>
    </xf>
    <xf numFmtId="0" fontId="0" fillId="16" borderId="8" xfId="0" applyFill="1" applyBorder="1" applyAlignment="1">
      <alignment horizontal="center" vertical="center"/>
    </xf>
    <xf numFmtId="0" fontId="0" fillId="16" borderId="0" xfId="0" applyFill="1" applyBorder="1" applyAlignment="1">
      <alignment horizontal="center" vertical="center"/>
    </xf>
    <xf numFmtId="0" fontId="0" fillId="16" borderId="9" xfId="0" applyFill="1" applyBorder="1" applyAlignment="1">
      <alignment horizontal="center" vertical="center"/>
    </xf>
    <xf numFmtId="0" fontId="0" fillId="16" borderId="5" xfId="0" applyFill="1" applyBorder="1"/>
    <xf numFmtId="0" fontId="0" fillId="16" borderId="7" xfId="0" applyFill="1" applyBorder="1"/>
    <xf numFmtId="167" fontId="0" fillId="16" borderId="17" xfId="0" applyNumberFormat="1" applyFill="1" applyBorder="1" applyAlignment="1">
      <alignment vertical="center"/>
    </xf>
    <xf numFmtId="167" fontId="0" fillId="16" borderId="19" xfId="0" applyNumberFormat="1" applyFill="1" applyBorder="1" applyAlignment="1">
      <alignment vertical="center"/>
    </xf>
    <xf numFmtId="167" fontId="0" fillId="16" borderId="18" xfId="0" applyNumberFormat="1" applyFill="1" applyBorder="1" applyAlignment="1">
      <alignment vertical="center"/>
    </xf>
    <xf numFmtId="10" fontId="6" fillId="0" borderId="9" xfId="0" applyNumberFormat="1" applyFont="1" applyBorder="1"/>
    <xf numFmtId="5" fontId="6" fillId="3" borderId="0" xfId="0" applyNumberFormat="1" applyFont="1" applyFill="1"/>
    <xf numFmtId="167" fontId="12" fillId="0" borderId="3" xfId="0" applyNumberFormat="1" applyFont="1" applyBorder="1"/>
    <xf numFmtId="0" fontId="6" fillId="5" borderId="46" xfId="0" applyFont="1" applyFill="1" applyBorder="1" applyAlignment="1">
      <alignment horizontal="left"/>
    </xf>
    <xf numFmtId="0" fontId="6" fillId="4" borderId="1" xfId="0" applyFont="1" applyFill="1" applyBorder="1" applyAlignment="1">
      <alignment horizontal="left"/>
    </xf>
    <xf numFmtId="0" fontId="2" fillId="0" borderId="30"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169" fontId="6" fillId="0" borderId="17" xfId="0" applyNumberFormat="1" applyFont="1" applyBorder="1" applyAlignment="1">
      <alignment horizontal="center" vertical="center" wrapText="1"/>
    </xf>
    <xf numFmtId="169" fontId="6" fillId="0" borderId="18" xfId="0" applyNumberFormat="1" applyFont="1" applyBorder="1" applyAlignment="1">
      <alignment horizontal="center" vertical="center" wrapText="1"/>
    </xf>
    <xf numFmtId="0" fontId="2" fillId="0" borderId="34" xfId="0" applyFont="1" applyBorder="1" applyAlignment="1">
      <alignment vertical="center" wrapText="1"/>
    </xf>
    <xf numFmtId="0" fontId="2" fillId="0" borderId="0" xfId="0" applyFont="1" applyAlignment="1">
      <alignment vertical="center" wrapText="1"/>
    </xf>
    <xf numFmtId="0" fontId="2" fillId="0" borderId="29" xfId="0" applyFont="1" applyBorder="1" applyAlignment="1">
      <alignment vertical="center" wrapText="1"/>
    </xf>
    <xf numFmtId="167" fontId="2" fillId="0" borderId="30" xfId="0" applyNumberFormat="1" applyFont="1" applyBorder="1" applyAlignment="1">
      <alignment vertical="center" wrapText="1"/>
    </xf>
    <xf numFmtId="167" fontId="2" fillId="0" borderId="25" xfId="0" applyNumberFormat="1" applyFont="1" applyBorder="1" applyAlignment="1">
      <alignment vertical="center" wrapText="1"/>
    </xf>
    <xf numFmtId="167" fontId="2" fillId="0" borderId="30" xfId="0" applyNumberFormat="1" applyFont="1" applyBorder="1" applyAlignment="1">
      <alignment horizontal="center" vertical="center" wrapText="1"/>
    </xf>
    <xf numFmtId="167" fontId="2" fillId="0" borderId="26" xfId="0" applyNumberFormat="1" applyFont="1" applyBorder="1" applyAlignment="1">
      <alignment horizontal="center" vertical="center" wrapText="1"/>
    </xf>
    <xf numFmtId="167" fontId="2" fillId="0" borderId="25" xfId="0" applyNumberFormat="1" applyFont="1" applyBorder="1" applyAlignment="1">
      <alignment horizontal="center" vertical="center" wrapText="1"/>
    </xf>
    <xf numFmtId="0" fontId="2" fillId="11" borderId="30" xfId="0" applyFont="1" applyFill="1" applyBorder="1" applyAlignment="1">
      <alignment horizontal="center" vertical="center" wrapText="1"/>
    </xf>
    <xf numFmtId="0" fontId="2" fillId="11" borderId="26" xfId="0" applyFont="1" applyFill="1" applyBorder="1" applyAlignment="1">
      <alignment horizontal="center" vertical="center" wrapText="1"/>
    </xf>
    <xf numFmtId="0" fontId="2" fillId="11" borderId="25" xfId="0" applyFont="1" applyFill="1" applyBorder="1" applyAlignment="1">
      <alignment horizontal="center" vertical="center" wrapText="1"/>
    </xf>
    <xf numFmtId="0" fontId="1" fillId="0" borderId="31" xfId="0" applyFont="1" applyBorder="1" applyAlignment="1">
      <alignment horizontal="justify" vertical="center" wrapText="1"/>
    </xf>
    <xf numFmtId="0" fontId="1" fillId="0" borderId="32" xfId="0" applyFont="1" applyBorder="1" applyAlignment="1">
      <alignment horizontal="justify" vertical="center" wrapText="1"/>
    </xf>
    <xf numFmtId="0" fontId="1" fillId="0" borderId="33" xfId="0" applyFont="1" applyBorder="1" applyAlignment="1">
      <alignment horizontal="justify" vertical="center" wrapText="1"/>
    </xf>
    <xf numFmtId="0" fontId="2" fillId="0" borderId="34" xfId="0" applyFont="1" applyBorder="1" applyAlignment="1">
      <alignment horizontal="left" vertical="center" wrapText="1" indent="3"/>
    </xf>
    <xf numFmtId="0" fontId="2" fillId="0" borderId="0" xfId="0" applyFont="1" applyAlignment="1">
      <alignment horizontal="left" vertical="center" wrapText="1" indent="3"/>
    </xf>
    <xf numFmtId="0" fontId="2" fillId="0" borderId="29" xfId="0" applyFont="1" applyBorder="1" applyAlignment="1">
      <alignment horizontal="left" vertical="center" wrapText="1" indent="3"/>
    </xf>
    <xf numFmtId="0" fontId="21" fillId="0" borderId="34" xfId="0" applyFont="1" applyBorder="1" applyAlignment="1">
      <alignment horizontal="left" vertical="center" wrapText="1" indent="5"/>
    </xf>
    <xf numFmtId="0" fontId="21" fillId="0" borderId="0" xfId="0" applyFont="1" applyAlignment="1">
      <alignment horizontal="left" vertical="center" wrapText="1" indent="5"/>
    </xf>
    <xf numFmtId="0" fontId="21" fillId="0" borderId="29" xfId="0" applyFont="1" applyBorder="1" applyAlignment="1">
      <alignment horizontal="left" vertical="center" wrapText="1" indent="5"/>
    </xf>
    <xf numFmtId="0" fontId="0" fillId="0" borderId="35" xfId="0" applyBorder="1" applyAlignment="1">
      <alignment vertical="top" wrapText="1"/>
    </xf>
    <xf numFmtId="0" fontId="0" fillId="0" borderId="28" xfId="0" applyBorder="1" applyAlignment="1">
      <alignment vertical="top" wrapText="1"/>
    </xf>
    <xf numFmtId="0" fontId="0" fillId="0" borderId="27" xfId="0" applyBorder="1" applyAlignment="1">
      <alignment vertical="top" wrapText="1"/>
    </xf>
    <xf numFmtId="0" fontId="0" fillId="0" borderId="34" xfId="0" applyBorder="1" applyAlignment="1">
      <alignment vertical="top" wrapText="1"/>
    </xf>
    <xf numFmtId="0" fontId="0" fillId="0" borderId="0" xfId="0" applyAlignment="1">
      <alignment vertical="top" wrapText="1"/>
    </xf>
    <xf numFmtId="0" fontId="0" fillId="0" borderId="29" xfId="0" applyBorder="1" applyAlignment="1">
      <alignment vertical="top" wrapText="1"/>
    </xf>
    <xf numFmtId="0" fontId="23" fillId="0" borderId="17" xfId="0" applyFont="1" applyBorder="1" applyAlignment="1">
      <alignment horizontal="center"/>
    </xf>
    <xf numFmtId="0" fontId="23" fillId="0" borderId="19" xfId="0" applyFont="1" applyBorder="1" applyAlignment="1">
      <alignment horizontal="center"/>
    </xf>
    <xf numFmtId="0" fontId="23" fillId="0" borderId="18" xfId="0" applyFont="1" applyBorder="1" applyAlignment="1">
      <alignment horizontal="center"/>
    </xf>
    <xf numFmtId="169" fontId="0" fillId="0" borderId="11" xfId="0" applyNumberFormat="1" applyBorder="1" applyAlignment="1">
      <alignment horizontal="center" vertical="center"/>
    </xf>
    <xf numFmtId="169" fontId="0" fillId="0" borderId="12" xfId="0" applyNumberFormat="1" applyBorder="1" applyAlignment="1">
      <alignment horizontal="center" vertical="center"/>
    </xf>
    <xf numFmtId="169" fontId="0" fillId="0" borderId="10" xfId="0" applyNumberFormat="1" applyBorder="1" applyAlignment="1">
      <alignment horizontal="center" vertical="center"/>
    </xf>
    <xf numFmtId="0" fontId="23" fillId="0" borderId="8" xfId="0" applyFont="1" applyBorder="1" applyAlignment="1">
      <alignment horizontal="center"/>
    </xf>
    <xf numFmtId="0" fontId="23" fillId="0" borderId="0" xfId="0" applyFont="1" applyBorder="1" applyAlignment="1">
      <alignment horizontal="center"/>
    </xf>
    <xf numFmtId="0" fontId="23" fillId="0" borderId="9" xfId="0" applyFont="1" applyBorder="1" applyAlignment="1">
      <alignment horizont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6" fillId="9" borderId="13" xfId="0" applyFont="1" applyFill="1" applyBorder="1" applyAlignment="1">
      <alignment horizontal="left" wrapText="1"/>
    </xf>
    <xf numFmtId="0" fontId="6" fillId="9" borderId="15" xfId="0" applyFont="1" applyFill="1" applyBorder="1" applyAlignment="1">
      <alignment horizontal="left" wrapText="1"/>
    </xf>
    <xf numFmtId="2" fontId="6" fillId="9" borderId="13" xfId="0" applyNumberFormat="1" applyFont="1" applyFill="1" applyBorder="1" applyAlignment="1">
      <alignment horizontal="center"/>
    </xf>
    <xf numFmtId="2" fontId="6" fillId="9" borderId="14" xfId="0" applyNumberFormat="1" applyFont="1" applyFill="1" applyBorder="1" applyAlignment="1">
      <alignment horizontal="center"/>
    </xf>
    <xf numFmtId="0" fontId="6" fillId="5" borderId="2" xfId="0" applyFont="1" applyFill="1" applyBorder="1" applyAlignment="1">
      <alignment horizontal="left" wrapText="1"/>
    </xf>
    <xf numFmtId="0" fontId="6" fillId="5" borderId="42" xfId="0" applyFont="1" applyFill="1" applyBorder="1" applyAlignment="1">
      <alignment horizontal="left" wrapText="1"/>
    </xf>
    <xf numFmtId="2" fontId="6" fillId="5" borderId="41" xfId="0" applyNumberFormat="1" applyFont="1" applyFill="1" applyBorder="1" applyAlignment="1">
      <alignment horizontal="center"/>
    </xf>
    <xf numFmtId="2" fontId="6" fillId="5" borderId="2" xfId="0" applyNumberFormat="1" applyFont="1" applyFill="1" applyBorder="1" applyAlignment="1">
      <alignment horizontal="center"/>
    </xf>
    <xf numFmtId="2" fontId="6" fillId="5" borderId="42" xfId="0" applyNumberFormat="1" applyFont="1" applyFill="1" applyBorder="1" applyAlignment="1">
      <alignment horizontal="center"/>
    </xf>
    <xf numFmtId="2" fontId="6" fillId="5" borderId="13" xfId="0" applyNumberFormat="1" applyFont="1" applyFill="1" applyBorder="1" applyAlignment="1">
      <alignment horizontal="center"/>
    </xf>
    <xf numFmtId="2" fontId="6" fillId="5" borderId="14" xfId="0" applyNumberFormat="1" applyFont="1" applyFill="1" applyBorder="1" applyAlignment="1">
      <alignment horizontal="center"/>
    </xf>
    <xf numFmtId="0" fontId="6" fillId="4" borderId="13" xfId="0" applyFont="1" applyFill="1" applyBorder="1" applyAlignment="1">
      <alignment horizontal="left" wrapText="1"/>
    </xf>
    <xf numFmtId="0" fontId="6" fillId="4" borderId="14" xfId="0" applyFont="1" applyFill="1" applyBorder="1" applyAlignment="1">
      <alignment horizontal="left" wrapText="1"/>
    </xf>
    <xf numFmtId="2" fontId="6" fillId="4" borderId="13" xfId="0" applyNumberFormat="1" applyFont="1" applyFill="1" applyBorder="1" applyAlignment="1">
      <alignment horizontal="center"/>
    </xf>
    <xf numFmtId="2" fontId="6" fillId="4" borderId="14" xfId="0" applyNumberFormat="1" applyFont="1" applyFill="1" applyBorder="1" applyAlignment="1">
      <alignment horizontal="center"/>
    </xf>
    <xf numFmtId="2" fontId="6" fillId="4" borderId="15" xfId="0" applyNumberFormat="1" applyFont="1" applyFill="1" applyBorder="1" applyAlignment="1">
      <alignment horizontal="center"/>
    </xf>
    <xf numFmtId="0" fontId="6" fillId="4" borderId="41" xfId="0" applyFont="1" applyFill="1" applyBorder="1" applyAlignment="1">
      <alignment horizontal="center"/>
    </xf>
    <xf numFmtId="0" fontId="6" fillId="4" borderId="2" xfId="0" applyFont="1" applyFill="1" applyBorder="1" applyAlignment="1">
      <alignment horizontal="center"/>
    </xf>
    <xf numFmtId="0" fontId="6" fillId="4" borderId="42" xfId="0" applyFont="1" applyFill="1" applyBorder="1" applyAlignment="1">
      <alignment horizontal="center"/>
    </xf>
    <xf numFmtId="0" fontId="6" fillId="5" borderId="40" xfId="0" applyFont="1" applyFill="1" applyBorder="1" applyAlignment="1">
      <alignment horizontal="center"/>
    </xf>
    <xf numFmtId="0" fontId="6" fillId="5" borderId="4" xfId="0" applyFont="1" applyFill="1" applyBorder="1" applyAlignment="1">
      <alignment horizontal="center"/>
    </xf>
    <xf numFmtId="0" fontId="6" fillId="5" borderId="43" xfId="0" applyFont="1" applyFill="1" applyBorder="1" applyAlignment="1">
      <alignment horizontal="center"/>
    </xf>
    <xf numFmtId="167" fontId="6" fillId="6" borderId="0" xfId="0" applyNumberFormat="1" applyFont="1" applyFill="1" applyBorder="1" applyAlignment="1">
      <alignment horizontal="center" vertical="center"/>
    </xf>
    <xf numFmtId="0" fontId="6" fillId="6" borderId="0" xfId="0" applyFont="1" applyFill="1" applyBorder="1" applyAlignment="1">
      <alignment horizontal="center" vertical="center"/>
    </xf>
    <xf numFmtId="0" fontId="6" fillId="0" borderId="5"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xf>
    <xf numFmtId="2" fontId="6" fillId="9" borderId="15" xfId="0" applyNumberFormat="1" applyFont="1" applyFill="1" applyBorder="1" applyAlignment="1">
      <alignment horizontal="center"/>
    </xf>
    <xf numFmtId="167" fontId="6" fillId="0" borderId="0" xfId="0" applyNumberFormat="1" applyFont="1" applyFill="1" applyBorder="1" applyAlignment="1">
      <alignment horizontal="center"/>
    </xf>
    <xf numFmtId="167" fontId="6" fillId="0" borderId="4" xfId="0" applyNumberFormat="1" applyFont="1" applyBorder="1"/>
    <xf numFmtId="167" fontId="6" fillId="0" borderId="9" xfId="0" applyNumberFormat="1" applyFont="1" applyFill="1" applyBorder="1" applyAlignment="1">
      <alignment horizontal="center"/>
    </xf>
    <xf numFmtId="0" fontId="6" fillId="0" borderId="47" xfId="0" applyFont="1" applyBorder="1"/>
    <xf numFmtId="0" fontId="7" fillId="0" borderId="8" xfId="0" applyFont="1" applyBorder="1" applyAlignment="1">
      <alignment horizontal="right"/>
    </xf>
    <xf numFmtId="167" fontId="7" fillId="13" borderId="37" xfId="0" applyNumberFormat="1" applyFont="1" applyFill="1" applyBorder="1"/>
    <xf numFmtId="167" fontId="7" fillId="13" borderId="37" xfId="0" applyNumberFormat="1" applyFont="1" applyFill="1" applyBorder="1" applyAlignment="1">
      <alignment horizontal="center"/>
    </xf>
    <xf numFmtId="167" fontId="7" fillId="13" borderId="36" xfId="0" applyNumberFormat="1" applyFont="1" applyFill="1" applyBorder="1" applyAlignment="1">
      <alignment horizontal="center"/>
    </xf>
  </cellXfs>
  <cellStyles count="5">
    <cellStyle name="Currency" xfId="1" builtinId="4"/>
    <cellStyle name="Normal" xfId="0" builtinId="0"/>
    <cellStyle name="Normal 10" xfId="3" xr:uid="{3DD98A34-FFE1-EC45-BB4B-8E9D10BDD060}"/>
    <cellStyle name="Normal_FY15_1" xfId="2" xr:uid="{00000000-0005-0000-0000-000002000000}"/>
    <cellStyle name="Percent" xfId="4" builtinId="5"/>
  </cellStyles>
  <dxfs count="3">
    <dxf>
      <font>
        <b val="0"/>
        <i val="0"/>
        <strike val="0"/>
        <condense val="0"/>
        <extend val="0"/>
        <outline val="0"/>
        <shadow val="0"/>
        <u val="none"/>
        <vertAlign val="baseline"/>
        <sz val="11"/>
        <color theme="1"/>
        <name val="Calibri"/>
        <family val="2"/>
        <scheme val="minor"/>
      </font>
      <numFmt numFmtId="9" formatCode="&quot;$&quot;#,##0_);\(&quot;$&quot;#,##0\)"/>
      <alignment horizontal="right" vertical="center" textRotation="0" wrapText="1" indent="0" justifyLastLine="0" shrinkToFit="0" readingOrder="0"/>
    </dxf>
    <dxf>
      <font>
        <b val="0"/>
        <i val="0"/>
        <strike val="0"/>
        <condense val="0"/>
        <extend val="0"/>
        <outline val="0"/>
        <shadow val="0"/>
        <u val="none"/>
        <vertAlign val="baseline"/>
        <sz val="10"/>
        <color rgb="FF0000CC"/>
        <name val="Arial Narrow"/>
        <family val="2"/>
        <scheme val="none"/>
      </font>
      <alignment horizontal="center" vertical="center" textRotation="0" wrapText="1" indent="0" justifyLastLine="0" shrinkToFit="0" readingOrder="0"/>
      <border diagonalUp="0" diagonalDown="0">
        <left style="double">
          <color rgb="FFD6E3BC"/>
        </left>
        <right/>
        <top/>
        <bottom style="medium">
          <color rgb="FFD6E3BC"/>
        </bottom>
        <vertical/>
        <horizontal/>
      </border>
    </dxf>
    <dxf>
      <font>
        <b/>
        <i val="0"/>
        <strike val="0"/>
        <condense val="0"/>
        <extend val="0"/>
        <outline val="0"/>
        <shadow val="0"/>
        <u val="none"/>
        <vertAlign val="baseline"/>
        <sz val="12"/>
        <color theme="1"/>
        <name val="Times New Roman"/>
        <family val="1"/>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C8BE89-5176-9042-90EB-90C1C3AB0976}" name="Table1" displayName="Table1" ref="A32:B37" totalsRowShown="0" headerRowDxfId="2">
  <autoFilter ref="A32:B37" xr:uid="{0296AC49-DA56-7F47-9C5D-F25F629EE49B}"/>
  <tableColumns count="2">
    <tableColumn id="1" xr3:uid="{34BF6354-1614-CB40-A8CC-59130902A10B}" name="Professor" dataDxfId="1"/>
    <tableColumn id="2" xr3:uid="{BFF0BA1C-C3FB-5C4D-8E1D-88BD3D1E5905}" name="Salary in 2019-2020" dataDxfId="0" dataCellStyle="Normal_FY15_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66258-B1EE-FE44-9ACF-B15068CB2D91}">
  <dimension ref="A1:S29"/>
  <sheetViews>
    <sheetView workbookViewId="0">
      <selection activeCell="F23" sqref="F23:G23"/>
    </sheetView>
  </sheetViews>
  <sheetFormatPr baseColWidth="10" defaultRowHeight="15" x14ac:dyDescent="0.2"/>
  <cols>
    <col min="1" max="1" width="25.83203125" customWidth="1"/>
  </cols>
  <sheetData>
    <row r="1" spans="1:19" ht="17" thickTop="1" thickBot="1" x14ac:dyDescent="0.25">
      <c r="A1" s="129"/>
      <c r="B1" s="271" t="s">
        <v>183</v>
      </c>
      <c r="C1" s="272"/>
      <c r="D1" s="272"/>
      <c r="E1" s="272"/>
      <c r="F1" s="272"/>
      <c r="G1" s="273"/>
      <c r="H1" s="271" t="s">
        <v>184</v>
      </c>
      <c r="I1" s="272"/>
      <c r="J1" s="272"/>
      <c r="K1" s="272"/>
      <c r="L1" s="272"/>
      <c r="M1" s="273"/>
      <c r="N1" s="271" t="s">
        <v>185</v>
      </c>
      <c r="O1" s="272"/>
      <c r="P1" s="272"/>
      <c r="Q1" s="272"/>
      <c r="R1" s="272"/>
      <c r="S1" s="273"/>
    </row>
    <row r="2" spans="1:19" ht="17" thickTop="1" thickBot="1" x14ac:dyDescent="0.25">
      <c r="A2" s="130" t="s">
        <v>138</v>
      </c>
      <c r="B2" s="271" t="s">
        <v>139</v>
      </c>
      <c r="C2" s="273"/>
      <c r="D2" s="271" t="s">
        <v>140</v>
      </c>
      <c r="E2" s="273"/>
      <c r="F2" s="271" t="s">
        <v>141</v>
      </c>
      <c r="G2" s="273"/>
      <c r="H2" s="271" t="s">
        <v>139</v>
      </c>
      <c r="I2" s="273"/>
      <c r="J2" s="271" t="s">
        <v>140</v>
      </c>
      <c r="K2" s="273"/>
      <c r="L2" s="271" t="s">
        <v>141</v>
      </c>
      <c r="M2" s="273"/>
      <c r="N2" s="271" t="s">
        <v>139</v>
      </c>
      <c r="O2" s="273"/>
      <c r="P2" s="271" t="s">
        <v>140</v>
      </c>
      <c r="Q2" s="273"/>
      <c r="R2" s="271" t="s">
        <v>141</v>
      </c>
      <c r="S2" s="273"/>
    </row>
    <row r="3" spans="1:19" ht="17" thickTop="1" thickBot="1" x14ac:dyDescent="0.25">
      <c r="A3" s="131"/>
      <c r="B3" s="132" t="s">
        <v>95</v>
      </c>
      <c r="C3" s="132" t="s">
        <v>96</v>
      </c>
      <c r="D3" s="132" t="s">
        <v>95</v>
      </c>
      <c r="E3" s="132" t="s">
        <v>96</v>
      </c>
      <c r="F3" s="132" t="s">
        <v>95</v>
      </c>
      <c r="G3" s="132" t="s">
        <v>96</v>
      </c>
      <c r="H3" s="132" t="s">
        <v>95</v>
      </c>
      <c r="I3" s="132" t="s">
        <v>96</v>
      </c>
      <c r="J3" s="132" t="s">
        <v>95</v>
      </c>
      <c r="K3" s="132" t="s">
        <v>96</v>
      </c>
      <c r="L3" s="132" t="s">
        <v>95</v>
      </c>
      <c r="M3" s="132" t="s">
        <v>96</v>
      </c>
      <c r="N3" s="132" t="s">
        <v>95</v>
      </c>
      <c r="O3" s="132" t="s">
        <v>96</v>
      </c>
      <c r="P3" s="132" t="s">
        <v>95</v>
      </c>
      <c r="Q3" s="132" t="s">
        <v>96</v>
      </c>
      <c r="R3" s="132" t="s">
        <v>95</v>
      </c>
      <c r="S3" s="132" t="s">
        <v>96</v>
      </c>
    </row>
    <row r="4" spans="1:19" ht="30" thickTop="1" thickBot="1" x14ac:dyDescent="0.25">
      <c r="A4" s="133" t="s">
        <v>142</v>
      </c>
      <c r="B4" s="137">
        <f>'Enrollment and Revenue'!C16</f>
        <v>2</v>
      </c>
      <c r="C4" s="137">
        <f>'Enrollment and Revenue'!D16</f>
        <v>0</v>
      </c>
      <c r="D4" s="137">
        <f>'Enrollment and Revenue'!E16</f>
        <v>0</v>
      </c>
      <c r="E4" s="137">
        <f>'Enrollment and Revenue'!F16</f>
        <v>0</v>
      </c>
      <c r="F4" s="137">
        <f>'Enrollment and Revenue'!G16</f>
        <v>0</v>
      </c>
      <c r="G4" s="137">
        <f>'Enrollment and Revenue'!H16</f>
        <v>0</v>
      </c>
      <c r="H4" s="137">
        <f>'Enrollment and Revenue'!I16</f>
        <v>3</v>
      </c>
      <c r="I4" s="137">
        <f>'Enrollment and Revenue'!J16</f>
        <v>0</v>
      </c>
      <c r="J4" s="137">
        <f>'Enrollment and Revenue'!K16</f>
        <v>0</v>
      </c>
      <c r="K4" s="137">
        <f>'Enrollment and Revenue'!L16</f>
        <v>0</v>
      </c>
      <c r="L4" s="137">
        <f>'Enrollment and Revenue'!M16</f>
        <v>0</v>
      </c>
      <c r="M4" s="137">
        <f>'Enrollment and Revenue'!N16</f>
        <v>0</v>
      </c>
      <c r="N4" s="137">
        <f>'Enrollment and Revenue'!O16</f>
        <v>4</v>
      </c>
      <c r="O4" s="137">
        <f>'Enrollment and Revenue'!P16</f>
        <v>0</v>
      </c>
      <c r="P4" s="137">
        <f>'Enrollment and Revenue'!Q16</f>
        <v>0</v>
      </c>
      <c r="Q4" s="137">
        <f>'Enrollment and Revenue'!R16</f>
        <v>0</v>
      </c>
      <c r="R4" s="137">
        <f>'Enrollment and Revenue'!S16</f>
        <v>0</v>
      </c>
      <c r="S4" s="137">
        <f>'Enrollment and Revenue'!T16</f>
        <v>0</v>
      </c>
    </row>
    <row r="5" spans="1:19" ht="30" thickTop="1" thickBot="1" x14ac:dyDescent="0.25">
      <c r="A5" s="133" t="s">
        <v>143</v>
      </c>
      <c r="B5" s="137">
        <f>'Enrollment and Revenue'!C17</f>
        <v>25</v>
      </c>
      <c r="C5" s="137">
        <f>'Enrollment and Revenue'!D17</f>
        <v>2</v>
      </c>
      <c r="D5" s="137">
        <f>'Enrollment and Revenue'!E17</f>
        <v>0</v>
      </c>
      <c r="E5" s="137">
        <f>'Enrollment and Revenue'!F17</f>
        <v>0</v>
      </c>
      <c r="F5" s="137">
        <f>'Enrollment and Revenue'!G17</f>
        <v>0</v>
      </c>
      <c r="G5" s="137">
        <f>'Enrollment and Revenue'!H17</f>
        <v>0</v>
      </c>
      <c r="H5" s="137">
        <f>'Enrollment and Revenue'!I17</f>
        <v>26</v>
      </c>
      <c r="I5" s="137">
        <f>'Enrollment and Revenue'!J17</f>
        <v>3</v>
      </c>
      <c r="J5" s="137">
        <f>'Enrollment and Revenue'!K17</f>
        <v>0</v>
      </c>
      <c r="K5" s="137">
        <f>'Enrollment and Revenue'!L17</f>
        <v>0</v>
      </c>
      <c r="L5" s="137">
        <f>'Enrollment and Revenue'!M17</f>
        <v>0</v>
      </c>
      <c r="M5" s="137">
        <f>'Enrollment and Revenue'!N17</f>
        <v>0</v>
      </c>
      <c r="N5" s="137">
        <f>'Enrollment and Revenue'!O17</f>
        <v>28</v>
      </c>
      <c r="O5" s="137">
        <f>'Enrollment and Revenue'!P17</f>
        <v>5</v>
      </c>
      <c r="P5" s="137">
        <f>'Enrollment and Revenue'!Q17</f>
        <v>1</v>
      </c>
      <c r="Q5" s="137">
        <f>'Enrollment and Revenue'!R17</f>
        <v>0</v>
      </c>
      <c r="R5" s="137">
        <f>'Enrollment and Revenue'!S17</f>
        <v>0</v>
      </c>
      <c r="S5" s="137">
        <f>'Enrollment and Revenue'!T17</f>
        <v>0</v>
      </c>
    </row>
    <row r="6" spans="1:19" ht="30" thickTop="1" thickBot="1" x14ac:dyDescent="0.25">
      <c r="A6" s="133" t="s">
        <v>144</v>
      </c>
      <c r="B6" s="137">
        <f>'Enrollment and Revenue'!C18</f>
        <v>0</v>
      </c>
      <c r="C6" s="137">
        <f>'Enrollment and Revenue'!D18</f>
        <v>0</v>
      </c>
      <c r="D6" s="137">
        <f>'Enrollment and Revenue'!E18</f>
        <v>27</v>
      </c>
      <c r="E6" s="137">
        <f>'Enrollment and Revenue'!F18</f>
        <v>2</v>
      </c>
      <c r="F6" s="137">
        <f>'Enrollment and Revenue'!G18</f>
        <v>0</v>
      </c>
      <c r="G6" s="137">
        <f>'Enrollment and Revenue'!H18</f>
        <v>0</v>
      </c>
      <c r="H6" s="137">
        <f>'Enrollment and Revenue'!I18</f>
        <v>21</v>
      </c>
      <c r="I6" s="137">
        <f>'Enrollment and Revenue'!J18</f>
        <v>2</v>
      </c>
      <c r="J6" s="137">
        <f>'Enrollment and Revenue'!K18</f>
        <v>48</v>
      </c>
      <c r="K6" s="137">
        <f>'Enrollment and Revenue'!L18</f>
        <v>5</v>
      </c>
      <c r="L6" s="137">
        <f>'Enrollment and Revenue'!M18</f>
        <v>0</v>
      </c>
      <c r="M6" s="137">
        <f>'Enrollment and Revenue'!N18</f>
        <v>0</v>
      </c>
      <c r="N6" s="137">
        <f>'Enrollment and Revenue'!O18</f>
        <v>44</v>
      </c>
      <c r="O6" s="137">
        <f>'Enrollment and Revenue'!P18</f>
        <v>5</v>
      </c>
      <c r="P6" s="137">
        <f>'Enrollment and Revenue'!Q18</f>
        <v>73</v>
      </c>
      <c r="Q6" s="137">
        <f>'Enrollment and Revenue'!R18</f>
        <v>10</v>
      </c>
      <c r="R6" s="137">
        <f>'Enrollment and Revenue'!S18</f>
        <v>0</v>
      </c>
      <c r="S6" s="137">
        <f>'Enrollment and Revenue'!T18</f>
        <v>0</v>
      </c>
    </row>
    <row r="7" spans="1:19" ht="18" thickTop="1" thickBot="1" x14ac:dyDescent="0.25">
      <c r="A7" s="134" t="s">
        <v>145</v>
      </c>
      <c r="B7" s="140">
        <f>SUM(B4:B6)</f>
        <v>27</v>
      </c>
      <c r="C7" s="140">
        <f t="shared" ref="C7:S7" si="0">SUM(C4:C6)</f>
        <v>2</v>
      </c>
      <c r="D7" s="140">
        <f t="shared" si="0"/>
        <v>27</v>
      </c>
      <c r="E7" s="140">
        <f t="shared" si="0"/>
        <v>2</v>
      </c>
      <c r="F7" s="137">
        <f t="shared" si="0"/>
        <v>0</v>
      </c>
      <c r="G7" s="137">
        <f t="shared" si="0"/>
        <v>0</v>
      </c>
      <c r="H7" s="137">
        <f t="shared" si="0"/>
        <v>50</v>
      </c>
      <c r="I7" s="137">
        <f t="shared" si="0"/>
        <v>5</v>
      </c>
      <c r="J7" s="140">
        <f t="shared" si="0"/>
        <v>48</v>
      </c>
      <c r="K7" s="140">
        <f t="shared" si="0"/>
        <v>5</v>
      </c>
      <c r="L7" s="137">
        <f t="shared" si="0"/>
        <v>0</v>
      </c>
      <c r="M7" s="137">
        <f t="shared" si="0"/>
        <v>0</v>
      </c>
      <c r="N7" s="137">
        <f t="shared" si="0"/>
        <v>76</v>
      </c>
      <c r="O7" s="137">
        <f t="shared" si="0"/>
        <v>10</v>
      </c>
      <c r="P7" s="140">
        <f t="shared" si="0"/>
        <v>74</v>
      </c>
      <c r="Q7" s="140">
        <f t="shared" si="0"/>
        <v>10</v>
      </c>
      <c r="R7" s="137">
        <f t="shared" si="0"/>
        <v>0</v>
      </c>
      <c r="S7" s="137">
        <f t="shared" si="0"/>
        <v>0</v>
      </c>
    </row>
    <row r="8" spans="1:19" ht="18" thickTop="1" thickBot="1" x14ac:dyDescent="0.25">
      <c r="A8" s="139" t="s">
        <v>146</v>
      </c>
      <c r="B8" s="274">
        <f>'Enrollment and Revenue'!C28</f>
        <v>27.666666666666668</v>
      </c>
      <c r="C8" s="275"/>
      <c r="D8" s="274">
        <f>'Enrollment and Revenue'!E28</f>
        <v>31.266666666666669</v>
      </c>
      <c r="E8" s="275"/>
      <c r="F8" s="274">
        <f>'Enrollment and Revenue'!G28</f>
        <v>0</v>
      </c>
      <c r="G8" s="275"/>
      <c r="H8" s="274">
        <f>'Enrollment and Revenue'!I28</f>
        <v>57.266666666666666</v>
      </c>
      <c r="I8" s="275"/>
      <c r="J8" s="274">
        <f>'Enrollment and Revenue'!K28</f>
        <v>54.733333333333334</v>
      </c>
      <c r="K8" s="275"/>
      <c r="L8" s="274">
        <f>'Enrollment and Revenue'!M28</f>
        <v>0</v>
      </c>
      <c r="M8" s="275"/>
      <c r="N8" s="274">
        <f>'Enrollment and Revenue'!O28</f>
        <v>86.533333333333331</v>
      </c>
      <c r="O8" s="275"/>
      <c r="P8" s="274">
        <f>'Enrollment and Revenue'!Q28</f>
        <v>83</v>
      </c>
      <c r="Q8" s="275"/>
      <c r="R8" s="274">
        <f>'Enrollment and Revenue'!S28</f>
        <v>0</v>
      </c>
      <c r="S8" s="275"/>
    </row>
    <row r="9" spans="1:19" ht="17" thickTop="1" thickBot="1" x14ac:dyDescent="0.25">
      <c r="A9" s="136"/>
      <c r="B9" s="271" t="s">
        <v>183</v>
      </c>
      <c r="C9" s="272"/>
      <c r="D9" s="272"/>
      <c r="E9" s="272"/>
      <c r="F9" s="272"/>
      <c r="G9" s="273"/>
      <c r="H9" s="271" t="s">
        <v>184</v>
      </c>
      <c r="I9" s="272"/>
      <c r="J9" s="272"/>
      <c r="K9" s="272"/>
      <c r="L9" s="272"/>
      <c r="M9" s="273"/>
      <c r="N9" s="271" t="s">
        <v>185</v>
      </c>
      <c r="O9" s="272"/>
      <c r="P9" s="272"/>
      <c r="Q9" s="272"/>
      <c r="R9" s="272"/>
      <c r="S9" s="273"/>
    </row>
    <row r="10" spans="1:19" ht="17" thickTop="1" thickBot="1" x14ac:dyDescent="0.25">
      <c r="A10" s="130" t="s">
        <v>147</v>
      </c>
      <c r="B10" s="271" t="s">
        <v>139</v>
      </c>
      <c r="C10" s="273"/>
      <c r="D10" s="271" t="s">
        <v>140</v>
      </c>
      <c r="E10" s="273"/>
      <c r="F10" s="271" t="s">
        <v>141</v>
      </c>
      <c r="G10" s="273"/>
      <c r="H10" s="271" t="s">
        <v>139</v>
      </c>
      <c r="I10" s="273"/>
      <c r="J10" s="271" t="s">
        <v>140</v>
      </c>
      <c r="K10" s="273"/>
      <c r="L10" s="271" t="s">
        <v>141</v>
      </c>
      <c r="M10" s="273"/>
      <c r="N10" s="271" t="s">
        <v>139</v>
      </c>
      <c r="O10" s="273"/>
      <c r="P10" s="271" t="s">
        <v>140</v>
      </c>
      <c r="Q10" s="273"/>
      <c r="R10" s="271" t="s">
        <v>141</v>
      </c>
      <c r="S10" s="273"/>
    </row>
    <row r="11" spans="1:19" ht="17" thickTop="1" thickBot="1" x14ac:dyDescent="0.25">
      <c r="A11" s="131"/>
      <c r="B11" s="132" t="s">
        <v>95</v>
      </c>
      <c r="C11" s="132" t="s">
        <v>96</v>
      </c>
      <c r="D11" s="132" t="s">
        <v>95</v>
      </c>
      <c r="E11" s="132" t="s">
        <v>96</v>
      </c>
      <c r="F11" s="132" t="s">
        <v>95</v>
      </c>
      <c r="G11" s="132" t="s">
        <v>96</v>
      </c>
      <c r="H11" s="132" t="s">
        <v>95</v>
      </c>
      <c r="I11" s="132" t="s">
        <v>96</v>
      </c>
      <c r="J11" s="132" t="s">
        <v>95</v>
      </c>
      <c r="K11" s="132" t="s">
        <v>96</v>
      </c>
      <c r="L11" s="132" t="s">
        <v>95</v>
      </c>
      <c r="M11" s="132" t="s">
        <v>96</v>
      </c>
      <c r="N11" s="132" t="s">
        <v>95</v>
      </c>
      <c r="O11" s="132" t="s">
        <v>96</v>
      </c>
      <c r="P11" s="132" t="s">
        <v>95</v>
      </c>
      <c r="Q11" s="132" t="s">
        <v>96</v>
      </c>
      <c r="R11" s="132" t="s">
        <v>95</v>
      </c>
      <c r="S11" s="132" t="s">
        <v>96</v>
      </c>
    </row>
    <row r="12" spans="1:19" ht="18" thickTop="1" thickBot="1" x14ac:dyDescent="0.25">
      <c r="A12" s="133" t="s">
        <v>148</v>
      </c>
      <c r="B12" s="141">
        <f>'Enrollment and Revenue'!C36</f>
        <v>121750</v>
      </c>
      <c r="C12" s="141">
        <f>'Enrollment and Revenue'!D36</f>
        <v>7746</v>
      </c>
      <c r="D12" s="141">
        <f>'Enrollment and Revenue'!E36</f>
        <v>131490</v>
      </c>
      <c r="E12" s="141">
        <f>'Enrollment and Revenue'!F36</f>
        <v>7746</v>
      </c>
      <c r="F12" s="141">
        <f>'Enrollment and Revenue'!G36</f>
        <v>0</v>
      </c>
      <c r="G12" s="141">
        <f>'Enrollment and Revenue'!H36</f>
        <v>0</v>
      </c>
      <c r="H12" s="141">
        <f>'Enrollment and Revenue'!I36</f>
        <v>228890</v>
      </c>
      <c r="I12" s="141">
        <f>'Enrollment and Revenue'!J36</f>
        <v>19365</v>
      </c>
      <c r="J12" s="141">
        <f>'Enrollment and Revenue'!K36</f>
        <v>233760</v>
      </c>
      <c r="K12" s="141">
        <f>'Enrollment and Revenue'!L36</f>
        <v>19365</v>
      </c>
      <c r="L12" s="141">
        <f>'Enrollment and Revenue'!M36</f>
        <v>0</v>
      </c>
      <c r="M12" s="141">
        <f>'Enrollment and Revenue'!N36</f>
        <v>0</v>
      </c>
      <c r="N12" s="141">
        <f>'Enrollment and Revenue'!O36</f>
        <v>350640</v>
      </c>
      <c r="O12" s="141">
        <f>'Enrollment and Revenue'!P36</f>
        <v>38730</v>
      </c>
      <c r="P12" s="141">
        <f>'Enrollment and Revenue'!Q36</f>
        <v>360380</v>
      </c>
      <c r="Q12" s="141">
        <f>'Enrollment and Revenue'!R36</f>
        <v>38730</v>
      </c>
      <c r="R12" s="141">
        <f>'Enrollment and Revenue'!S36</f>
        <v>0</v>
      </c>
      <c r="S12" s="141">
        <f>'Enrollment and Revenue'!T36</f>
        <v>0</v>
      </c>
    </row>
    <row r="13" spans="1:19" ht="18" thickTop="1" thickBot="1" x14ac:dyDescent="0.25">
      <c r="A13" s="133" t="s">
        <v>149</v>
      </c>
      <c r="B13" s="141">
        <f>'Enrollment and Revenue'!C37</f>
        <v>9740</v>
      </c>
      <c r="C13" s="141">
        <f>'Enrollment and Revenue'!D37</f>
        <v>0</v>
      </c>
      <c r="D13" s="141">
        <f>'Enrollment and Revenue'!E37</f>
        <v>0</v>
      </c>
      <c r="E13" s="141">
        <f>'Enrollment and Revenue'!F37</f>
        <v>0</v>
      </c>
      <c r="F13" s="141">
        <f>'Enrollment and Revenue'!G37</f>
        <v>0</v>
      </c>
      <c r="G13" s="141">
        <f>'Enrollment and Revenue'!H37</f>
        <v>0</v>
      </c>
      <c r="H13" s="141">
        <f>'Enrollment and Revenue'!I37</f>
        <v>14610</v>
      </c>
      <c r="I13" s="141">
        <f>'Enrollment and Revenue'!J37</f>
        <v>0</v>
      </c>
      <c r="J13" s="141">
        <f>'Enrollment and Revenue'!K37</f>
        <v>0</v>
      </c>
      <c r="K13" s="141">
        <f>'Enrollment and Revenue'!L37</f>
        <v>0</v>
      </c>
      <c r="L13" s="141">
        <f>'Enrollment and Revenue'!M37</f>
        <v>0</v>
      </c>
      <c r="M13" s="141">
        <f>'Enrollment and Revenue'!N37</f>
        <v>0</v>
      </c>
      <c r="N13" s="141">
        <f>'Enrollment and Revenue'!O37</f>
        <v>19480</v>
      </c>
      <c r="O13" s="141">
        <f>'Enrollment and Revenue'!P37</f>
        <v>0</v>
      </c>
      <c r="P13" s="141">
        <f>'Enrollment and Revenue'!Q37</f>
        <v>0</v>
      </c>
      <c r="Q13" s="141">
        <f>'Enrollment and Revenue'!R37</f>
        <v>0</v>
      </c>
      <c r="R13" s="141">
        <f>'Enrollment and Revenue'!S37</f>
        <v>0</v>
      </c>
      <c r="S13" s="141">
        <f>'Enrollment and Revenue'!T37</f>
        <v>0</v>
      </c>
    </row>
    <row r="14" spans="1:19" ht="30" thickTop="1" thickBot="1" x14ac:dyDescent="0.25">
      <c r="A14" s="133" t="s">
        <v>150</v>
      </c>
      <c r="B14" s="141">
        <f>'Enrollment and Revenue'!C38</f>
        <v>2160</v>
      </c>
      <c r="C14" s="141">
        <f>'Enrollment and Revenue'!D38</f>
        <v>80</v>
      </c>
      <c r="D14" s="141">
        <f>'Enrollment and Revenue'!E38</f>
        <v>2160</v>
      </c>
      <c r="E14" s="141">
        <f>'Enrollment and Revenue'!F38</f>
        <v>80</v>
      </c>
      <c r="F14" s="141">
        <f>'Enrollment and Revenue'!G38</f>
        <v>0</v>
      </c>
      <c r="G14" s="141">
        <f>'Enrollment and Revenue'!H38</f>
        <v>0</v>
      </c>
      <c r="H14" s="141">
        <f>'Enrollment and Revenue'!I38</f>
        <v>4000</v>
      </c>
      <c r="I14" s="141">
        <f>'Enrollment and Revenue'!J38</f>
        <v>200</v>
      </c>
      <c r="J14" s="141">
        <f>'Enrollment and Revenue'!K38</f>
        <v>3840</v>
      </c>
      <c r="K14" s="141">
        <f>'Enrollment and Revenue'!L38</f>
        <v>200</v>
      </c>
      <c r="L14" s="141">
        <f>'Enrollment and Revenue'!M38</f>
        <v>0</v>
      </c>
      <c r="M14" s="141">
        <f>'Enrollment and Revenue'!N38</f>
        <v>0</v>
      </c>
      <c r="N14" s="141">
        <f>'Enrollment and Revenue'!O38</f>
        <v>6080</v>
      </c>
      <c r="O14" s="141">
        <f>'Enrollment and Revenue'!P38</f>
        <v>400</v>
      </c>
      <c r="P14" s="141">
        <f>'Enrollment and Revenue'!Q38</f>
        <v>5920</v>
      </c>
      <c r="Q14" s="141">
        <f>'Enrollment and Revenue'!R38</f>
        <v>400</v>
      </c>
      <c r="R14" s="141">
        <f>'Enrollment and Revenue'!S38</f>
        <v>0</v>
      </c>
      <c r="S14" s="141">
        <f>'Enrollment and Revenue'!T38</f>
        <v>0</v>
      </c>
    </row>
    <row r="15" spans="1:19" ht="30" thickTop="1" thickBot="1" x14ac:dyDescent="0.25">
      <c r="A15" s="133" t="s">
        <v>151</v>
      </c>
      <c r="B15" s="141">
        <f>'Enrollment and Revenue'!C39</f>
        <v>0</v>
      </c>
      <c r="C15" s="141">
        <f>'Enrollment and Revenue'!D39</f>
        <v>0</v>
      </c>
      <c r="D15" s="141">
        <f>'Enrollment and Revenue'!E39</f>
        <v>0</v>
      </c>
      <c r="E15" s="141">
        <f>'Enrollment and Revenue'!F39</f>
        <v>0</v>
      </c>
      <c r="F15" s="141">
        <f>'Enrollment and Revenue'!G39</f>
        <v>0</v>
      </c>
      <c r="G15" s="141">
        <f>'Enrollment and Revenue'!H39</f>
        <v>0</v>
      </c>
      <c r="H15" s="141">
        <f>'Enrollment and Revenue'!I39</f>
        <v>11445</v>
      </c>
      <c r="I15" s="141">
        <f>'Enrollment and Revenue'!J39</f>
        <v>0</v>
      </c>
      <c r="J15" s="141">
        <f>'Enrollment and Revenue'!K39</f>
        <v>0</v>
      </c>
      <c r="K15" s="141">
        <f>'Enrollment and Revenue'!L39</f>
        <v>0</v>
      </c>
      <c r="L15" s="141">
        <f>'Enrollment and Revenue'!M39</f>
        <v>0</v>
      </c>
      <c r="M15" s="141">
        <f>'Enrollment and Revenue'!N39</f>
        <v>0</v>
      </c>
      <c r="N15" s="141">
        <f>'Enrollment and Revenue'!O39</f>
        <v>13625</v>
      </c>
      <c r="O15" s="141">
        <f>'Enrollment and Revenue'!P39</f>
        <v>0</v>
      </c>
      <c r="P15" s="141">
        <f>'Enrollment and Revenue'!Q39</f>
        <v>0</v>
      </c>
      <c r="Q15" s="141">
        <f>'Enrollment and Revenue'!R39</f>
        <v>0</v>
      </c>
      <c r="R15" s="141">
        <f>'Enrollment and Revenue'!S39</f>
        <v>0</v>
      </c>
      <c r="S15" s="141">
        <f>'Enrollment and Revenue'!T39</f>
        <v>0</v>
      </c>
    </row>
    <row r="16" spans="1:19" ht="17" thickTop="1" thickBot="1" x14ac:dyDescent="0.25">
      <c r="A16" s="135" t="s">
        <v>152</v>
      </c>
      <c r="B16" s="281">
        <f>SUM(B12:G15)</f>
        <v>282952</v>
      </c>
      <c r="C16" s="282"/>
      <c r="D16" s="282"/>
      <c r="E16" s="282"/>
      <c r="F16" s="282"/>
      <c r="G16" s="283"/>
      <c r="H16" s="281">
        <f>SUM(H12:M15)</f>
        <v>535675</v>
      </c>
      <c r="I16" s="282"/>
      <c r="J16" s="282"/>
      <c r="K16" s="282"/>
      <c r="L16" s="282"/>
      <c r="M16" s="283"/>
      <c r="N16" s="281">
        <f>SUM(N12:S15)</f>
        <v>834385</v>
      </c>
      <c r="O16" s="282"/>
      <c r="P16" s="282"/>
      <c r="Q16" s="282"/>
      <c r="R16" s="282"/>
      <c r="S16" s="283"/>
    </row>
    <row r="17" spans="1:19" ht="65" customHeight="1" thickTop="1" thickBot="1" x14ac:dyDescent="0.25">
      <c r="A17" s="136"/>
      <c r="B17" s="284"/>
      <c r="C17" s="285"/>
      <c r="D17" s="285"/>
      <c r="E17" s="285"/>
      <c r="F17" s="285"/>
      <c r="G17" s="286"/>
      <c r="H17" s="287" t="s">
        <v>154</v>
      </c>
      <c r="I17" s="288"/>
      <c r="J17" s="288"/>
      <c r="K17" s="288"/>
      <c r="L17" s="288"/>
      <c r="M17" s="288"/>
      <c r="N17" s="288"/>
      <c r="O17" s="288"/>
      <c r="P17" s="288"/>
      <c r="Q17" s="288"/>
      <c r="R17" s="288"/>
      <c r="S17" s="289"/>
    </row>
    <row r="18" spans="1:19" ht="32" thickTop="1" thickBot="1" x14ac:dyDescent="0.25">
      <c r="A18" s="130" t="s">
        <v>153</v>
      </c>
      <c r="B18" s="284"/>
      <c r="C18" s="286"/>
      <c r="D18" s="284"/>
      <c r="E18" s="286"/>
      <c r="F18" s="284"/>
      <c r="G18" s="286"/>
      <c r="H18" s="290" t="s">
        <v>194</v>
      </c>
      <c r="I18" s="291"/>
      <c r="J18" s="291"/>
      <c r="K18" s="291"/>
      <c r="L18" s="291"/>
      <c r="M18" s="291"/>
      <c r="N18" s="291"/>
      <c r="O18" s="291"/>
      <c r="P18" s="291"/>
      <c r="Q18" s="291"/>
      <c r="R18" s="291"/>
      <c r="S18" s="292"/>
    </row>
    <row r="19" spans="1:19" ht="26" customHeight="1" thickTop="1" thickBot="1" x14ac:dyDescent="0.25">
      <c r="A19" s="131"/>
      <c r="B19" s="271" t="s">
        <v>183</v>
      </c>
      <c r="C19" s="273"/>
      <c r="D19" s="271" t="s">
        <v>184</v>
      </c>
      <c r="E19" s="273"/>
      <c r="F19" s="271" t="s">
        <v>185</v>
      </c>
      <c r="G19" s="273"/>
      <c r="H19" s="293" t="s">
        <v>155</v>
      </c>
      <c r="I19" s="294"/>
      <c r="J19" s="294"/>
      <c r="K19" s="294"/>
      <c r="L19" s="294"/>
      <c r="M19" s="294"/>
      <c r="N19" s="294"/>
      <c r="O19" s="294"/>
      <c r="P19" s="294"/>
      <c r="Q19" s="294"/>
      <c r="R19" s="294"/>
      <c r="S19" s="295"/>
    </row>
    <row r="20" spans="1:19" ht="46" customHeight="1" thickTop="1" thickBot="1" x14ac:dyDescent="0.25">
      <c r="A20" s="133" t="s">
        <v>161</v>
      </c>
      <c r="B20" s="279">
        <f>'Staffing '!C44</f>
        <v>14745.8392</v>
      </c>
      <c r="C20" s="280"/>
      <c r="D20" s="279">
        <f>'Staffing '!C44</f>
        <v>14745.8392</v>
      </c>
      <c r="E20" s="280"/>
      <c r="F20" s="279">
        <f>'Staffing '!E44</f>
        <v>29491.678400000001</v>
      </c>
      <c r="G20" s="280"/>
      <c r="H20" s="290" t="s">
        <v>156</v>
      </c>
      <c r="I20" s="291"/>
      <c r="J20" s="291"/>
      <c r="K20" s="291"/>
      <c r="L20" s="291"/>
      <c r="M20" s="291"/>
      <c r="N20" s="291"/>
      <c r="O20" s="291"/>
      <c r="P20" s="291"/>
      <c r="Q20" s="291"/>
      <c r="R20" s="291"/>
      <c r="S20" s="292"/>
    </row>
    <row r="21" spans="1:19" ht="32" thickTop="1" thickBot="1" x14ac:dyDescent="0.25">
      <c r="A21" s="133" t="s">
        <v>162</v>
      </c>
      <c r="B21" s="279">
        <f>'Staffing '!C28</f>
        <v>22118.7588</v>
      </c>
      <c r="C21" s="280"/>
      <c r="D21" s="279">
        <f>'Staffing '!F28</f>
        <v>110593.79400000001</v>
      </c>
      <c r="E21" s="280"/>
      <c r="F21" s="279">
        <f>'Staffing '!I28</f>
        <v>284866.00800000003</v>
      </c>
      <c r="G21" s="280"/>
      <c r="H21" s="276" t="s">
        <v>157</v>
      </c>
      <c r="I21" s="277"/>
      <c r="J21" s="277"/>
      <c r="K21" s="277"/>
      <c r="L21" s="277"/>
      <c r="M21" s="277"/>
      <c r="N21" s="277"/>
      <c r="O21" s="277"/>
      <c r="P21" s="277"/>
      <c r="Q21" s="277"/>
      <c r="R21" s="277"/>
      <c r="S21" s="278"/>
    </row>
    <row r="22" spans="1:19" ht="32" thickTop="1" thickBot="1" x14ac:dyDescent="0.25">
      <c r="A22" s="133" t="s">
        <v>163</v>
      </c>
      <c r="B22" s="279">
        <f>'Staffing '!C26</f>
        <v>0</v>
      </c>
      <c r="C22" s="280"/>
      <c r="D22" s="279">
        <f>'Staffing '!F26</f>
        <v>0</v>
      </c>
      <c r="E22" s="280"/>
      <c r="F22" s="279">
        <f>'Staffing '!I26</f>
        <v>63678.42</v>
      </c>
      <c r="G22" s="280"/>
      <c r="H22" s="290" t="s">
        <v>158</v>
      </c>
      <c r="I22" s="291"/>
      <c r="J22" s="291"/>
      <c r="K22" s="291"/>
      <c r="L22" s="291"/>
      <c r="M22" s="291"/>
      <c r="N22" s="291"/>
      <c r="O22" s="291"/>
      <c r="P22" s="291"/>
      <c r="Q22" s="291"/>
      <c r="R22" s="291"/>
      <c r="S22" s="292"/>
    </row>
    <row r="23" spans="1:19" ht="30" thickTop="1" thickBot="1" x14ac:dyDescent="0.25">
      <c r="A23" s="133" t="s">
        <v>164</v>
      </c>
      <c r="B23" s="279">
        <f>'Staffing '!C53+'Staffing '!C60</f>
        <v>8234.6949999999997</v>
      </c>
      <c r="C23" s="280"/>
      <c r="D23" s="279">
        <f>'Staffing '!D53+'Staffing '!D60</f>
        <v>15854.655449999998</v>
      </c>
      <c r="E23" s="280"/>
      <c r="F23" s="279">
        <f>'Staffing '!E53+'Staffing '!E60</f>
        <v>88486.187925499995</v>
      </c>
      <c r="G23" s="280"/>
      <c r="H23" s="290" t="s">
        <v>159</v>
      </c>
      <c r="I23" s="291"/>
      <c r="J23" s="291"/>
      <c r="K23" s="291"/>
      <c r="L23" s="291"/>
      <c r="M23" s="291"/>
      <c r="N23" s="291"/>
      <c r="O23" s="291"/>
      <c r="P23" s="291"/>
      <c r="Q23" s="291"/>
      <c r="R23" s="291"/>
      <c r="S23" s="292"/>
    </row>
    <row r="24" spans="1:19" ht="17" thickTop="1" thickBot="1" x14ac:dyDescent="0.25">
      <c r="A24" s="133" t="s">
        <v>165</v>
      </c>
      <c r="B24" s="279">
        <v>7500</v>
      </c>
      <c r="C24" s="280"/>
      <c r="D24" s="279">
        <v>7500</v>
      </c>
      <c r="E24" s="280"/>
      <c r="F24" s="279">
        <v>7500</v>
      </c>
      <c r="G24" s="280"/>
      <c r="H24" s="290" t="s">
        <v>160</v>
      </c>
      <c r="I24" s="291"/>
      <c r="J24" s="291"/>
      <c r="K24" s="291"/>
      <c r="L24" s="291"/>
      <c r="M24" s="291"/>
      <c r="N24" s="291"/>
      <c r="O24" s="291"/>
      <c r="P24" s="291"/>
      <c r="Q24" s="291"/>
      <c r="R24" s="291"/>
      <c r="S24" s="292"/>
    </row>
    <row r="25" spans="1:19" ht="17" thickTop="1" thickBot="1" x14ac:dyDescent="0.25">
      <c r="A25" s="133" t="s">
        <v>166</v>
      </c>
      <c r="B25" s="279">
        <f>SUM(B14:G14)</f>
        <v>4480</v>
      </c>
      <c r="C25" s="280"/>
      <c r="D25" s="279">
        <f>SUM(H14:M14)</f>
        <v>8240</v>
      </c>
      <c r="E25" s="280"/>
      <c r="F25" s="279">
        <f>SUM(N14:S14)</f>
        <v>12800</v>
      </c>
      <c r="G25" s="280"/>
      <c r="H25" s="299"/>
      <c r="I25" s="300"/>
      <c r="J25" s="300"/>
      <c r="K25" s="300"/>
      <c r="L25" s="300"/>
      <c r="M25" s="300"/>
      <c r="N25" s="300"/>
      <c r="O25" s="300"/>
      <c r="P25" s="300"/>
      <c r="Q25" s="300"/>
      <c r="R25" s="300"/>
      <c r="S25" s="301"/>
    </row>
    <row r="26" spans="1:19" ht="18" thickTop="1" thickBot="1" x14ac:dyDescent="0.25">
      <c r="A26" s="133" t="s">
        <v>167</v>
      </c>
      <c r="B26" s="279">
        <f>21402.36+'Staffing '!B68</f>
        <v>33902.36</v>
      </c>
      <c r="C26" s="280"/>
      <c r="D26" s="279">
        <f>'Staffing '!H65+'Staffing '!C68</f>
        <v>31687.724799999996</v>
      </c>
      <c r="E26" s="280"/>
      <c r="F26" s="279">
        <f>'Staffing '!H65+'Staffing '!D68</f>
        <v>29187.724799999996</v>
      </c>
      <c r="G26" s="280"/>
      <c r="H26" s="299"/>
      <c r="I26" s="300"/>
      <c r="J26" s="300"/>
      <c r="K26" s="300"/>
      <c r="L26" s="300"/>
      <c r="M26" s="300"/>
      <c r="N26" s="300"/>
      <c r="O26" s="300"/>
      <c r="P26" s="300"/>
      <c r="Q26" s="300"/>
      <c r="R26" s="300"/>
      <c r="S26" s="301"/>
    </row>
    <row r="27" spans="1:19" ht="18" thickTop="1" thickBot="1" x14ac:dyDescent="0.25">
      <c r="A27" s="133" t="s">
        <v>168</v>
      </c>
      <c r="B27" s="279"/>
      <c r="C27" s="280"/>
      <c r="D27" s="279"/>
      <c r="E27" s="280"/>
      <c r="F27" s="279"/>
      <c r="G27" s="280"/>
      <c r="H27" s="299"/>
      <c r="I27" s="300"/>
      <c r="J27" s="300"/>
      <c r="K27" s="300"/>
      <c r="L27" s="300"/>
      <c r="M27" s="300"/>
      <c r="N27" s="300"/>
      <c r="O27" s="300"/>
      <c r="P27" s="300"/>
      <c r="Q27" s="300"/>
      <c r="R27" s="300"/>
      <c r="S27" s="301"/>
    </row>
    <row r="28" spans="1:19" ht="17" thickTop="1" thickBot="1" x14ac:dyDescent="0.25">
      <c r="A28" s="135" t="s">
        <v>169</v>
      </c>
      <c r="B28" s="279">
        <f>SUM(B20:C27)</f>
        <v>90981.652999999991</v>
      </c>
      <c r="C28" s="280"/>
      <c r="D28" s="279">
        <f t="shared" ref="D28" si="1">SUM(D20:E27)</f>
        <v>188622.01345</v>
      </c>
      <c r="E28" s="280"/>
      <c r="F28" s="279">
        <f t="shared" ref="F28" si="2">SUM(F20:G27)</f>
        <v>516010.0191255</v>
      </c>
      <c r="G28" s="280"/>
      <c r="H28" s="296"/>
      <c r="I28" s="297"/>
      <c r="J28" s="297"/>
      <c r="K28" s="297"/>
      <c r="L28" s="297"/>
      <c r="M28" s="297"/>
      <c r="N28" s="297"/>
      <c r="O28" s="297"/>
      <c r="P28" s="297"/>
      <c r="Q28" s="297"/>
      <c r="R28" s="297"/>
      <c r="S28" s="298"/>
    </row>
    <row r="29" spans="1:19" ht="16" thickTop="1" x14ac:dyDescent="0.2"/>
  </sheetData>
  <mergeCells count="82">
    <mergeCell ref="B28:C28"/>
    <mergeCell ref="D28:E28"/>
    <mergeCell ref="F28:G28"/>
    <mergeCell ref="B8:C8"/>
    <mergeCell ref="D8:E8"/>
    <mergeCell ref="F8:G8"/>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H28:S28"/>
    <mergeCell ref="B18:C18"/>
    <mergeCell ref="D18:E18"/>
    <mergeCell ref="F18:G18"/>
    <mergeCell ref="B19:C19"/>
    <mergeCell ref="D19:E19"/>
    <mergeCell ref="F19:G19"/>
    <mergeCell ref="B20:C20"/>
    <mergeCell ref="D20:E20"/>
    <mergeCell ref="F20:G20"/>
    <mergeCell ref="H22:S22"/>
    <mergeCell ref="H23:S23"/>
    <mergeCell ref="H24:S24"/>
    <mergeCell ref="H25:S25"/>
    <mergeCell ref="H26:S26"/>
    <mergeCell ref="H27:S27"/>
    <mergeCell ref="B17:G17"/>
    <mergeCell ref="H17:S17"/>
    <mergeCell ref="H18:S18"/>
    <mergeCell ref="H19:S19"/>
    <mergeCell ref="H20:S20"/>
    <mergeCell ref="H21:S21"/>
    <mergeCell ref="B21:C21"/>
    <mergeCell ref="D21:E21"/>
    <mergeCell ref="F21:G21"/>
    <mergeCell ref="N10:O10"/>
    <mergeCell ref="P10:Q10"/>
    <mergeCell ref="R10:S10"/>
    <mergeCell ref="B16:G16"/>
    <mergeCell ref="H16:M16"/>
    <mergeCell ref="N16:S16"/>
    <mergeCell ref="B10:C10"/>
    <mergeCell ref="D10:E10"/>
    <mergeCell ref="F10:G10"/>
    <mergeCell ref="H10:I10"/>
    <mergeCell ref="J10:K10"/>
    <mergeCell ref="L10:M10"/>
    <mergeCell ref="B9:G9"/>
    <mergeCell ref="H9:M9"/>
    <mergeCell ref="N9:S9"/>
    <mergeCell ref="H8:I8"/>
    <mergeCell ref="J8:K8"/>
    <mergeCell ref="L8:M8"/>
    <mergeCell ref="N8:O8"/>
    <mergeCell ref="P8:Q8"/>
    <mergeCell ref="R8:S8"/>
    <mergeCell ref="B1:G1"/>
    <mergeCell ref="H1:M1"/>
    <mergeCell ref="N1:S1"/>
    <mergeCell ref="B2:C2"/>
    <mergeCell ref="D2:E2"/>
    <mergeCell ref="F2:G2"/>
    <mergeCell ref="H2:I2"/>
    <mergeCell ref="J2:K2"/>
    <mergeCell ref="L2:M2"/>
    <mergeCell ref="N2:O2"/>
    <mergeCell ref="P2:Q2"/>
    <mergeCell ref="R2:S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AA336-24F5-BA4F-9E4C-D4C4FAD479DF}">
  <dimension ref="A1:T44"/>
  <sheetViews>
    <sheetView zoomScale="75" workbookViewId="0">
      <pane xSplit="2" ySplit="3" topLeftCell="C4" activePane="bottomRight" state="frozen"/>
      <selection pane="topRight" activeCell="C1" sqref="C1"/>
      <selection pane="bottomLeft" activeCell="A4" sqref="A4"/>
      <selection pane="bottomRight" activeCell="G34" sqref="G34"/>
    </sheetView>
  </sheetViews>
  <sheetFormatPr baseColWidth="10" defaultRowHeight="15" x14ac:dyDescent="0.2"/>
  <cols>
    <col min="2" max="2" width="14.6640625" style="214" customWidth="1"/>
    <col min="3" max="3" width="12.6640625" bestFit="1" customWidth="1"/>
    <col min="4" max="4" width="11.6640625" bestFit="1" customWidth="1"/>
    <col min="5" max="5" width="12.6640625" bestFit="1" customWidth="1"/>
    <col min="6" max="6" width="11.6640625" bestFit="1" customWidth="1"/>
    <col min="7" max="7" width="11.83203125" bestFit="1" customWidth="1"/>
    <col min="9" max="9" width="12.6640625" bestFit="1" customWidth="1"/>
    <col min="10" max="10" width="11.6640625" bestFit="1" customWidth="1"/>
    <col min="11" max="11" width="12.6640625" bestFit="1" customWidth="1"/>
    <col min="12" max="12" width="11.6640625" bestFit="1" customWidth="1"/>
    <col min="15" max="15" width="12.6640625" bestFit="1" customWidth="1"/>
    <col min="16" max="16" width="11.6640625" bestFit="1" customWidth="1"/>
    <col min="17" max="17" width="12.6640625" bestFit="1" customWidth="1"/>
    <col min="18" max="18" width="11.6640625" bestFit="1" customWidth="1"/>
  </cols>
  <sheetData>
    <row r="1" spans="1:20" ht="16" thickBot="1" x14ac:dyDescent="0.25">
      <c r="C1" s="302" t="s">
        <v>79</v>
      </c>
      <c r="D1" s="303"/>
      <c r="E1" s="303"/>
      <c r="F1" s="303"/>
      <c r="G1" s="303"/>
      <c r="H1" s="304"/>
      <c r="I1" s="302" t="s">
        <v>80</v>
      </c>
      <c r="J1" s="303"/>
      <c r="K1" s="303"/>
      <c r="L1" s="303"/>
      <c r="M1" s="303"/>
      <c r="N1" s="304"/>
      <c r="O1" s="302" t="s">
        <v>81</v>
      </c>
      <c r="P1" s="303"/>
      <c r="Q1" s="303"/>
      <c r="R1" s="303"/>
      <c r="S1" s="303"/>
      <c r="T1" s="304"/>
    </row>
    <row r="2" spans="1:20" x14ac:dyDescent="0.2">
      <c r="C2" s="308" t="s">
        <v>170</v>
      </c>
      <c r="D2" s="309"/>
      <c r="E2" s="309" t="s">
        <v>171</v>
      </c>
      <c r="F2" s="309"/>
      <c r="G2" s="309" t="s">
        <v>172</v>
      </c>
      <c r="H2" s="310"/>
      <c r="I2" s="308" t="s">
        <v>173</v>
      </c>
      <c r="J2" s="309"/>
      <c r="K2" s="309" t="s">
        <v>174</v>
      </c>
      <c r="L2" s="309"/>
      <c r="M2" s="309" t="s">
        <v>175</v>
      </c>
      <c r="N2" s="310"/>
      <c r="O2" s="308" t="s">
        <v>176</v>
      </c>
      <c r="P2" s="309"/>
      <c r="Q2" s="309" t="s">
        <v>177</v>
      </c>
      <c r="R2" s="309"/>
      <c r="S2" s="309" t="s">
        <v>178</v>
      </c>
      <c r="T2" s="310"/>
    </row>
    <row r="3" spans="1:20" ht="16" thickBot="1" x14ac:dyDescent="0.25">
      <c r="C3" s="250" t="s">
        <v>95</v>
      </c>
      <c r="D3" s="251" t="s">
        <v>96</v>
      </c>
      <c r="E3" s="251" t="s">
        <v>95</v>
      </c>
      <c r="F3" s="251" t="s">
        <v>96</v>
      </c>
      <c r="G3" s="251" t="s">
        <v>95</v>
      </c>
      <c r="H3" s="252" t="s">
        <v>96</v>
      </c>
      <c r="I3" s="250" t="s">
        <v>95</v>
      </c>
      <c r="J3" s="251" t="s">
        <v>96</v>
      </c>
      <c r="K3" s="251" t="s">
        <v>95</v>
      </c>
      <c r="L3" s="251" t="s">
        <v>96</v>
      </c>
      <c r="M3" s="251" t="s">
        <v>95</v>
      </c>
      <c r="N3" s="252" t="s">
        <v>96</v>
      </c>
      <c r="O3" s="250" t="s">
        <v>95</v>
      </c>
      <c r="P3" s="251" t="s">
        <v>96</v>
      </c>
      <c r="Q3" s="251" t="s">
        <v>95</v>
      </c>
      <c r="R3" s="251" t="s">
        <v>96</v>
      </c>
      <c r="S3" s="251" t="s">
        <v>95</v>
      </c>
      <c r="T3" s="252" t="s">
        <v>96</v>
      </c>
    </row>
    <row r="4" spans="1:20" ht="42" x14ac:dyDescent="0.2">
      <c r="A4" s="311" t="s">
        <v>75</v>
      </c>
      <c r="B4" s="218" t="s">
        <v>142</v>
      </c>
      <c r="C4" s="226">
        <v>2</v>
      </c>
      <c r="D4" s="227"/>
      <c r="E4" s="227"/>
      <c r="F4" s="227"/>
      <c r="G4" s="227"/>
      <c r="H4" s="228"/>
      <c r="I4" s="226"/>
      <c r="J4" s="227"/>
      <c r="K4" s="227"/>
      <c r="L4" s="227"/>
      <c r="M4" s="227"/>
      <c r="N4" s="228"/>
      <c r="O4" s="226"/>
      <c r="P4" s="227"/>
      <c r="Q4" s="227"/>
      <c r="R4" s="227"/>
      <c r="S4" s="227"/>
      <c r="T4" s="228"/>
    </row>
    <row r="5" spans="1:20" ht="28" x14ac:dyDescent="0.2">
      <c r="A5" s="312"/>
      <c r="B5" s="219" t="s">
        <v>143</v>
      </c>
      <c r="C5" s="223">
        <v>25</v>
      </c>
      <c r="D5" s="224">
        <v>2</v>
      </c>
      <c r="E5" s="224"/>
      <c r="F5" s="224"/>
      <c r="G5" s="224"/>
      <c r="H5" s="225"/>
      <c r="I5" s="223"/>
      <c r="J5" s="224"/>
      <c r="K5" s="224"/>
      <c r="L5" s="224"/>
      <c r="M5" s="224"/>
      <c r="N5" s="225"/>
      <c r="O5" s="223"/>
      <c r="P5" s="224"/>
      <c r="Q5" s="224"/>
      <c r="R5" s="224"/>
      <c r="S5" s="224"/>
      <c r="T5" s="225"/>
    </row>
    <row r="6" spans="1:20" ht="56" x14ac:dyDescent="0.2">
      <c r="A6" s="312"/>
      <c r="B6" s="219" t="s">
        <v>144</v>
      </c>
      <c r="C6" s="223">
        <v>0</v>
      </c>
      <c r="D6" s="224">
        <v>0</v>
      </c>
      <c r="E6" s="224">
        <v>27</v>
      </c>
      <c r="F6" s="224">
        <v>2</v>
      </c>
      <c r="G6" s="224"/>
      <c r="H6" s="225"/>
      <c r="I6" s="223">
        <v>21</v>
      </c>
      <c r="J6" s="224">
        <v>2</v>
      </c>
      <c r="K6" s="224">
        <v>20</v>
      </c>
      <c r="L6" s="224">
        <v>2</v>
      </c>
      <c r="M6" s="224"/>
      <c r="N6" s="225"/>
      <c r="O6" s="223">
        <v>19</v>
      </c>
      <c r="P6" s="224">
        <v>2</v>
      </c>
      <c r="Q6" s="224">
        <v>19</v>
      </c>
      <c r="R6" s="224">
        <v>2</v>
      </c>
      <c r="S6" s="224"/>
      <c r="T6" s="225"/>
    </row>
    <row r="7" spans="1:20" ht="16" thickBot="1" x14ac:dyDescent="0.25">
      <c r="A7" s="313"/>
      <c r="B7" s="220" t="s">
        <v>180</v>
      </c>
      <c r="C7" s="229">
        <v>15</v>
      </c>
      <c r="D7" s="230">
        <v>7</v>
      </c>
      <c r="E7" s="230">
        <v>17</v>
      </c>
      <c r="F7" s="230">
        <v>7</v>
      </c>
      <c r="G7" s="230"/>
      <c r="H7" s="231"/>
      <c r="I7" s="229">
        <v>19</v>
      </c>
      <c r="J7" s="230">
        <v>7</v>
      </c>
      <c r="K7" s="230">
        <v>16</v>
      </c>
      <c r="L7" s="230">
        <v>7</v>
      </c>
      <c r="M7" s="230"/>
      <c r="N7" s="231"/>
      <c r="O7" s="229">
        <v>15</v>
      </c>
      <c r="P7" s="230">
        <v>7</v>
      </c>
      <c r="Q7" s="230">
        <v>15</v>
      </c>
      <c r="R7" s="230">
        <v>7</v>
      </c>
      <c r="S7" s="230"/>
      <c r="T7" s="231"/>
    </row>
    <row r="8" spans="1:20" ht="42" x14ac:dyDescent="0.2">
      <c r="A8" s="311" t="s">
        <v>76</v>
      </c>
      <c r="B8" s="218" t="s">
        <v>142</v>
      </c>
      <c r="C8" s="232"/>
      <c r="D8" s="233"/>
      <c r="E8" s="233"/>
      <c r="F8" s="233"/>
      <c r="G8" s="233"/>
      <c r="H8" s="234"/>
      <c r="I8" s="226">
        <v>3</v>
      </c>
      <c r="J8" s="227"/>
      <c r="K8" s="227"/>
      <c r="L8" s="227"/>
      <c r="M8" s="227"/>
      <c r="N8" s="228"/>
      <c r="O8" s="226">
        <v>2</v>
      </c>
      <c r="P8" s="227"/>
      <c r="Q8" s="227"/>
      <c r="R8" s="227"/>
      <c r="S8" s="227"/>
      <c r="T8" s="228"/>
    </row>
    <row r="9" spans="1:20" ht="28" x14ac:dyDescent="0.2">
      <c r="A9" s="312"/>
      <c r="B9" s="219" t="s">
        <v>143</v>
      </c>
      <c r="C9" s="235"/>
      <c r="D9" s="236"/>
      <c r="E9" s="236"/>
      <c r="F9" s="236"/>
      <c r="G9" s="236"/>
      <c r="H9" s="237"/>
      <c r="I9" s="223">
        <v>26</v>
      </c>
      <c r="J9" s="224">
        <v>3</v>
      </c>
      <c r="K9" s="224"/>
      <c r="L9" s="224"/>
      <c r="M9" s="224"/>
      <c r="N9" s="225"/>
      <c r="O9" s="223"/>
      <c r="P9" s="224">
        <v>1</v>
      </c>
      <c r="Q9" s="224">
        <v>1</v>
      </c>
      <c r="R9" s="224"/>
      <c r="S9" s="224"/>
      <c r="T9" s="225"/>
    </row>
    <row r="10" spans="1:20" ht="56" x14ac:dyDescent="0.2">
      <c r="A10" s="312"/>
      <c r="B10" s="219" t="s">
        <v>144</v>
      </c>
      <c r="C10" s="235"/>
      <c r="D10" s="236"/>
      <c r="E10" s="236"/>
      <c r="F10" s="236"/>
      <c r="G10" s="236"/>
      <c r="H10" s="237"/>
      <c r="I10" s="223"/>
      <c r="J10" s="224"/>
      <c r="K10" s="224">
        <v>28</v>
      </c>
      <c r="L10" s="224">
        <v>3</v>
      </c>
      <c r="M10" s="224"/>
      <c r="N10" s="225"/>
      <c r="O10" s="223">
        <v>25</v>
      </c>
      <c r="P10" s="224">
        <v>3</v>
      </c>
      <c r="Q10" s="224">
        <v>24</v>
      </c>
      <c r="R10" s="224">
        <v>4</v>
      </c>
      <c r="S10" s="224"/>
      <c r="T10" s="225"/>
    </row>
    <row r="11" spans="1:20" ht="16" thickBot="1" x14ac:dyDescent="0.25">
      <c r="A11" s="313"/>
      <c r="B11" s="220" t="s">
        <v>180</v>
      </c>
      <c r="C11" s="238"/>
      <c r="D11" s="239"/>
      <c r="E11" s="239"/>
      <c r="F11" s="239"/>
      <c r="G11" s="239"/>
      <c r="H11" s="240"/>
      <c r="I11" s="229">
        <v>15</v>
      </c>
      <c r="J11" s="230">
        <v>7</v>
      </c>
      <c r="K11" s="230">
        <v>17</v>
      </c>
      <c r="L11" s="230">
        <v>7</v>
      </c>
      <c r="M11" s="230"/>
      <c r="N11" s="231"/>
      <c r="O11" s="223">
        <v>19</v>
      </c>
      <c r="P11" s="224">
        <v>7</v>
      </c>
      <c r="Q11" s="224">
        <v>16</v>
      </c>
      <c r="R11" s="224">
        <v>7</v>
      </c>
      <c r="S11" s="224"/>
      <c r="T11" s="225"/>
    </row>
    <row r="12" spans="1:20" ht="42" x14ac:dyDescent="0.2">
      <c r="A12" s="311" t="s">
        <v>77</v>
      </c>
      <c r="B12" s="218" t="s">
        <v>142</v>
      </c>
      <c r="C12" s="232"/>
      <c r="D12" s="233"/>
      <c r="E12" s="233"/>
      <c r="F12" s="233"/>
      <c r="G12" s="233"/>
      <c r="H12" s="234"/>
      <c r="I12" s="232"/>
      <c r="J12" s="233"/>
      <c r="K12" s="233"/>
      <c r="L12" s="233"/>
      <c r="M12" s="233"/>
      <c r="N12" s="233"/>
      <c r="O12" s="226">
        <v>2</v>
      </c>
      <c r="P12" s="227"/>
      <c r="Q12" s="227"/>
      <c r="R12" s="227"/>
      <c r="S12" s="227"/>
      <c r="T12" s="228"/>
    </row>
    <row r="13" spans="1:20" ht="28" x14ac:dyDescent="0.2">
      <c r="A13" s="312"/>
      <c r="B13" s="219" t="s">
        <v>143</v>
      </c>
      <c r="C13" s="235"/>
      <c r="D13" s="236"/>
      <c r="E13" s="236"/>
      <c r="F13" s="236"/>
      <c r="G13" s="236"/>
      <c r="H13" s="237"/>
      <c r="I13" s="235"/>
      <c r="J13" s="236"/>
      <c r="K13" s="236"/>
      <c r="L13" s="236"/>
      <c r="M13" s="236"/>
      <c r="N13" s="236"/>
      <c r="O13" s="223">
        <v>28</v>
      </c>
      <c r="P13" s="224">
        <v>4</v>
      </c>
      <c r="Q13" s="224"/>
      <c r="R13" s="224"/>
      <c r="S13" s="224"/>
      <c r="T13" s="225"/>
    </row>
    <row r="14" spans="1:20" ht="56" x14ac:dyDescent="0.2">
      <c r="A14" s="312"/>
      <c r="B14" s="219" t="s">
        <v>144</v>
      </c>
      <c r="C14" s="235"/>
      <c r="D14" s="236"/>
      <c r="E14" s="236"/>
      <c r="F14" s="236"/>
      <c r="G14" s="236"/>
      <c r="H14" s="237"/>
      <c r="I14" s="235"/>
      <c r="J14" s="236"/>
      <c r="K14" s="236"/>
      <c r="L14" s="236"/>
      <c r="M14" s="236"/>
      <c r="N14" s="236"/>
      <c r="O14" s="223"/>
      <c r="P14" s="224"/>
      <c r="Q14" s="224">
        <v>30</v>
      </c>
      <c r="R14" s="224">
        <v>4</v>
      </c>
      <c r="S14" s="224"/>
      <c r="T14" s="225"/>
    </row>
    <row r="15" spans="1:20" ht="16" thickBot="1" x14ac:dyDescent="0.25">
      <c r="A15" s="313"/>
      <c r="B15" s="221" t="s">
        <v>180</v>
      </c>
      <c r="C15" s="238"/>
      <c r="D15" s="239"/>
      <c r="E15" s="239"/>
      <c r="F15" s="239"/>
      <c r="G15" s="239"/>
      <c r="H15" s="240"/>
      <c r="I15" s="238"/>
      <c r="J15" s="239"/>
      <c r="K15" s="239"/>
      <c r="L15" s="239"/>
      <c r="M15" s="239"/>
      <c r="N15" s="239"/>
      <c r="O15" s="229">
        <v>15</v>
      </c>
      <c r="P15" s="230">
        <v>7</v>
      </c>
      <c r="Q15" s="230">
        <v>17</v>
      </c>
      <c r="R15" s="230">
        <v>7</v>
      </c>
      <c r="S15" s="230"/>
      <c r="T15" s="231"/>
    </row>
    <row r="16" spans="1:20" ht="42" x14ac:dyDescent="0.2">
      <c r="A16" s="311" t="s">
        <v>115</v>
      </c>
      <c r="B16" s="218" t="s">
        <v>142</v>
      </c>
      <c r="C16" s="226">
        <f>C4+C8+C12</f>
        <v>2</v>
      </c>
      <c r="D16" s="227">
        <f t="shared" ref="D16:F16" si="0">D4+D8+D12</f>
        <v>0</v>
      </c>
      <c r="E16" s="227">
        <f t="shared" si="0"/>
        <v>0</v>
      </c>
      <c r="F16" s="227">
        <f t="shared" si="0"/>
        <v>0</v>
      </c>
      <c r="G16" s="227"/>
      <c r="H16" s="228"/>
      <c r="I16" s="226">
        <f t="shared" ref="I16:L16" si="1">I4+I8+I12</f>
        <v>3</v>
      </c>
      <c r="J16" s="227">
        <f t="shared" si="1"/>
        <v>0</v>
      </c>
      <c r="K16" s="227">
        <f t="shared" si="1"/>
        <v>0</v>
      </c>
      <c r="L16" s="227">
        <f t="shared" si="1"/>
        <v>0</v>
      </c>
      <c r="M16" s="227"/>
      <c r="N16" s="228"/>
      <c r="O16" s="223">
        <f t="shared" ref="O16:R16" si="2">O4+O8+O12</f>
        <v>4</v>
      </c>
      <c r="P16" s="224">
        <f t="shared" si="2"/>
        <v>0</v>
      </c>
      <c r="Q16" s="224">
        <f t="shared" si="2"/>
        <v>0</v>
      </c>
      <c r="R16" s="224">
        <f t="shared" si="2"/>
        <v>0</v>
      </c>
      <c r="S16" s="224"/>
      <c r="T16" s="225"/>
    </row>
    <row r="17" spans="1:20" ht="28" x14ac:dyDescent="0.2">
      <c r="A17" s="312"/>
      <c r="B17" s="219" t="s">
        <v>143</v>
      </c>
      <c r="C17" s="223">
        <f t="shared" ref="C17:F18" si="3">C5+C9+C13</f>
        <v>25</v>
      </c>
      <c r="D17" s="224">
        <f t="shared" si="3"/>
        <v>2</v>
      </c>
      <c r="E17" s="224">
        <f t="shared" si="3"/>
        <v>0</v>
      </c>
      <c r="F17" s="224">
        <f t="shared" si="3"/>
        <v>0</v>
      </c>
      <c r="G17" s="224"/>
      <c r="H17" s="225"/>
      <c r="I17" s="223">
        <f t="shared" ref="I17:L17" si="4">I5+I9+I13</f>
        <v>26</v>
      </c>
      <c r="J17" s="224">
        <f t="shared" si="4"/>
        <v>3</v>
      </c>
      <c r="K17" s="224">
        <f t="shared" si="4"/>
        <v>0</v>
      </c>
      <c r="L17" s="224">
        <f t="shared" si="4"/>
        <v>0</v>
      </c>
      <c r="M17" s="224"/>
      <c r="N17" s="225"/>
      <c r="O17" s="223">
        <f t="shared" ref="O17:R17" si="5">O5+O9+O13</f>
        <v>28</v>
      </c>
      <c r="P17" s="224">
        <f t="shared" si="5"/>
        <v>5</v>
      </c>
      <c r="Q17" s="224">
        <f t="shared" si="5"/>
        <v>1</v>
      </c>
      <c r="R17" s="224">
        <f t="shared" si="5"/>
        <v>0</v>
      </c>
      <c r="S17" s="224"/>
      <c r="T17" s="225"/>
    </row>
    <row r="18" spans="1:20" ht="56" x14ac:dyDescent="0.2">
      <c r="A18" s="312"/>
      <c r="B18" s="219" t="s">
        <v>144</v>
      </c>
      <c r="C18" s="223">
        <f t="shared" si="3"/>
        <v>0</v>
      </c>
      <c r="D18" s="224">
        <f t="shared" si="3"/>
        <v>0</v>
      </c>
      <c r="E18" s="224">
        <f t="shared" si="3"/>
        <v>27</v>
      </c>
      <c r="F18" s="224">
        <f t="shared" si="3"/>
        <v>2</v>
      </c>
      <c r="G18" s="224"/>
      <c r="H18" s="225"/>
      <c r="I18" s="223">
        <f t="shared" ref="I18:L18" si="6">I6+I10+I14</f>
        <v>21</v>
      </c>
      <c r="J18" s="224">
        <f t="shared" si="6"/>
        <v>2</v>
      </c>
      <c r="K18" s="224">
        <f t="shared" si="6"/>
        <v>48</v>
      </c>
      <c r="L18" s="224">
        <f t="shared" si="6"/>
        <v>5</v>
      </c>
      <c r="M18" s="224"/>
      <c r="N18" s="225"/>
      <c r="O18" s="223">
        <f t="shared" ref="O18:R18" si="7">O6+O10+O14</f>
        <v>44</v>
      </c>
      <c r="P18" s="224">
        <f t="shared" si="7"/>
        <v>5</v>
      </c>
      <c r="Q18" s="224">
        <f t="shared" si="7"/>
        <v>73</v>
      </c>
      <c r="R18" s="224">
        <f t="shared" si="7"/>
        <v>10</v>
      </c>
      <c r="S18" s="224"/>
      <c r="T18" s="225"/>
    </row>
    <row r="19" spans="1:20" ht="16" thickBot="1" x14ac:dyDescent="0.25">
      <c r="A19" s="313"/>
      <c r="B19" s="221" t="s">
        <v>180</v>
      </c>
      <c r="C19" s="229"/>
      <c r="D19" s="230"/>
      <c r="E19" s="230"/>
      <c r="F19" s="230"/>
      <c r="G19" s="230"/>
      <c r="H19" s="231"/>
      <c r="I19" s="229"/>
      <c r="J19" s="230"/>
      <c r="K19" s="230"/>
      <c r="L19" s="230"/>
      <c r="M19" s="230"/>
      <c r="N19" s="231"/>
      <c r="O19" s="229">
        <v>15</v>
      </c>
      <c r="P19" s="230">
        <v>7</v>
      </c>
      <c r="Q19" s="230">
        <v>17</v>
      </c>
      <c r="R19" s="230">
        <v>7</v>
      </c>
      <c r="S19" s="230"/>
      <c r="T19" s="231"/>
    </row>
    <row r="20" spans="1:20" ht="16" thickBot="1" x14ac:dyDescent="0.25">
      <c r="A20" s="254"/>
      <c r="B20" s="257"/>
      <c r="C20" s="258"/>
      <c r="D20" s="259"/>
      <c r="E20" s="259"/>
      <c r="F20" s="259"/>
      <c r="G20" s="259"/>
      <c r="H20" s="260"/>
      <c r="I20" s="258"/>
      <c r="J20" s="259"/>
      <c r="K20" s="259"/>
      <c r="L20" s="259"/>
      <c r="M20" s="259"/>
      <c r="N20" s="260"/>
      <c r="O20" s="258"/>
      <c r="P20" s="259"/>
      <c r="Q20" s="259"/>
      <c r="R20" s="259"/>
      <c r="S20" s="259"/>
      <c r="T20" s="260"/>
    </row>
    <row r="21" spans="1:20" ht="28" customHeight="1" x14ac:dyDescent="0.2">
      <c r="A21" s="311" t="s">
        <v>180</v>
      </c>
      <c r="B21" s="222" t="s">
        <v>179</v>
      </c>
      <c r="C21" s="226">
        <f>SUM(C4:C6,C8:C10,C12:C14)</f>
        <v>27</v>
      </c>
      <c r="D21" s="227">
        <f t="shared" ref="D21:T21" si="8">SUM(D4:D6,D8:D10,D12:D14)</f>
        <v>2</v>
      </c>
      <c r="E21" s="227">
        <f t="shared" si="8"/>
        <v>27</v>
      </c>
      <c r="F21" s="227">
        <f t="shared" si="8"/>
        <v>2</v>
      </c>
      <c r="G21" s="227">
        <f t="shared" si="8"/>
        <v>0</v>
      </c>
      <c r="H21" s="228">
        <f t="shared" si="8"/>
        <v>0</v>
      </c>
      <c r="I21" s="226">
        <f t="shared" si="8"/>
        <v>50</v>
      </c>
      <c r="J21" s="227">
        <f t="shared" si="8"/>
        <v>5</v>
      </c>
      <c r="K21" s="227">
        <f t="shared" si="8"/>
        <v>48</v>
      </c>
      <c r="L21" s="227">
        <f t="shared" si="8"/>
        <v>5</v>
      </c>
      <c r="M21" s="227">
        <f t="shared" si="8"/>
        <v>0</v>
      </c>
      <c r="N21" s="228">
        <f t="shared" si="8"/>
        <v>0</v>
      </c>
      <c r="O21" s="226">
        <f t="shared" si="8"/>
        <v>76</v>
      </c>
      <c r="P21" s="227">
        <f t="shared" si="8"/>
        <v>10</v>
      </c>
      <c r="Q21" s="227">
        <f t="shared" si="8"/>
        <v>74</v>
      </c>
      <c r="R21" s="227">
        <f t="shared" si="8"/>
        <v>10</v>
      </c>
      <c r="S21" s="227">
        <f t="shared" si="8"/>
        <v>0</v>
      </c>
      <c r="T21" s="228">
        <f t="shared" si="8"/>
        <v>0</v>
      </c>
    </row>
    <row r="22" spans="1:20" x14ac:dyDescent="0.2">
      <c r="A22" s="312"/>
      <c r="B22" s="215"/>
      <c r="C22" s="223"/>
      <c r="D22" s="224"/>
      <c r="E22" s="224"/>
      <c r="F22" s="224"/>
      <c r="G22" s="224"/>
      <c r="H22" s="225"/>
      <c r="I22" s="223"/>
      <c r="J22" s="224"/>
      <c r="K22" s="224"/>
      <c r="L22" s="224"/>
      <c r="M22" s="224"/>
      <c r="N22" s="225"/>
      <c r="O22" s="223"/>
      <c r="P22" s="224"/>
      <c r="Q22" s="224"/>
      <c r="R22" s="224"/>
      <c r="S22" s="224"/>
      <c r="T22" s="225"/>
    </row>
    <row r="23" spans="1:20" x14ac:dyDescent="0.2">
      <c r="A23" s="312"/>
      <c r="B23" s="222" t="s">
        <v>75</v>
      </c>
      <c r="C23" s="223">
        <f>SUM(C4:C6)*C7</f>
        <v>405</v>
      </c>
      <c r="D23" s="224">
        <f>SUM(D4:D6)*D7</f>
        <v>14</v>
      </c>
      <c r="E23" s="224">
        <f>SUM(E4:E6)*E7</f>
        <v>459</v>
      </c>
      <c r="F23" s="224">
        <f>SUM(F4:F6)*F7</f>
        <v>14</v>
      </c>
      <c r="G23" s="224"/>
      <c r="H23" s="225"/>
      <c r="I23" s="223">
        <f>SUM(I4:I6)*I7</f>
        <v>399</v>
      </c>
      <c r="J23" s="224">
        <f>SUM(J4:J6)*J7</f>
        <v>14</v>
      </c>
      <c r="K23" s="224">
        <f>SUM(K4:K6)*K7</f>
        <v>320</v>
      </c>
      <c r="L23" s="224">
        <f>SUM(L4:L6)*L7</f>
        <v>14</v>
      </c>
      <c r="M23" s="224"/>
      <c r="N23" s="225"/>
      <c r="O23" s="223">
        <f>SUM(O4:O6)*O7</f>
        <v>285</v>
      </c>
      <c r="P23" s="224">
        <f>SUM(P4:P6)*P7</f>
        <v>14</v>
      </c>
      <c r="Q23" s="224">
        <f>SUM(Q4:Q6)*Q7</f>
        <v>285</v>
      </c>
      <c r="R23" s="224">
        <f>SUM(R4:R6)*R7</f>
        <v>14</v>
      </c>
      <c r="S23" s="224"/>
      <c r="T23" s="225"/>
    </row>
    <row r="24" spans="1:20" x14ac:dyDescent="0.2">
      <c r="A24" s="312"/>
      <c r="B24" s="222" t="s">
        <v>76</v>
      </c>
      <c r="C24" s="223"/>
      <c r="D24" s="224"/>
      <c r="E24" s="224"/>
      <c r="F24" s="224"/>
      <c r="G24" s="224"/>
      <c r="H24" s="225"/>
      <c r="I24" s="223">
        <f>SUM(I8:I10)*I11</f>
        <v>435</v>
      </c>
      <c r="J24" s="224">
        <f t="shared" ref="J24:L24" si="9">SUM(J8:J10)*J11</f>
        <v>21</v>
      </c>
      <c r="K24" s="224">
        <f t="shared" si="9"/>
        <v>476</v>
      </c>
      <c r="L24" s="224">
        <f t="shared" si="9"/>
        <v>21</v>
      </c>
      <c r="M24" s="224"/>
      <c r="N24" s="225"/>
      <c r="O24" s="223">
        <f t="shared" ref="O24:R24" si="10">SUM(O8:O10)*O11</f>
        <v>513</v>
      </c>
      <c r="P24" s="224">
        <f t="shared" si="10"/>
        <v>28</v>
      </c>
      <c r="Q24" s="224">
        <f t="shared" si="10"/>
        <v>400</v>
      </c>
      <c r="R24" s="224">
        <f t="shared" si="10"/>
        <v>28</v>
      </c>
      <c r="S24" s="224"/>
      <c r="T24" s="225"/>
    </row>
    <row r="25" spans="1:20" x14ac:dyDescent="0.2">
      <c r="A25" s="312"/>
      <c r="B25" s="222" t="s">
        <v>77</v>
      </c>
      <c r="C25" s="223"/>
      <c r="D25" s="224"/>
      <c r="E25" s="224"/>
      <c r="F25" s="224"/>
      <c r="G25" s="224"/>
      <c r="H25" s="225"/>
      <c r="I25" s="223"/>
      <c r="J25" s="224"/>
      <c r="K25" s="224"/>
      <c r="L25" s="224"/>
      <c r="M25" s="224"/>
      <c r="N25" s="225"/>
      <c r="O25" s="223">
        <f>SUM(O12:O14)*O15</f>
        <v>450</v>
      </c>
      <c r="P25" s="224">
        <f t="shared" ref="P25:R25" si="11">SUM(P12:P14)*P15</f>
        <v>28</v>
      </c>
      <c r="Q25" s="224">
        <f t="shared" si="11"/>
        <v>510</v>
      </c>
      <c r="R25" s="224">
        <f t="shared" si="11"/>
        <v>28</v>
      </c>
      <c r="S25" s="224"/>
      <c r="T25" s="225"/>
    </row>
    <row r="26" spans="1:20" x14ac:dyDescent="0.2">
      <c r="A26" s="312"/>
      <c r="B26" s="222" t="s">
        <v>181</v>
      </c>
      <c r="C26" s="223">
        <f>SUM(C23:C25)</f>
        <v>405</v>
      </c>
      <c r="D26" s="224">
        <f t="shared" ref="D26:F26" si="12">SUM(D23:D25)</f>
        <v>14</v>
      </c>
      <c r="E26" s="224">
        <f t="shared" si="12"/>
        <v>459</v>
      </c>
      <c r="F26" s="224">
        <f t="shared" si="12"/>
        <v>14</v>
      </c>
      <c r="G26" s="224">
        <f t="shared" ref="G26" si="13">SUM(G23:G25)</f>
        <v>0</v>
      </c>
      <c r="H26" s="225">
        <f t="shared" ref="H26" si="14">SUM(H23:H25)</f>
        <v>0</v>
      </c>
      <c r="I26" s="223">
        <f t="shared" ref="I26:L26" si="15">SUM(I23:I25)</f>
        <v>834</v>
      </c>
      <c r="J26" s="224">
        <f t="shared" si="15"/>
        <v>35</v>
      </c>
      <c r="K26" s="224">
        <f t="shared" si="15"/>
        <v>796</v>
      </c>
      <c r="L26" s="224">
        <f t="shared" si="15"/>
        <v>35</v>
      </c>
      <c r="M26" s="224">
        <f t="shared" ref="M26" si="16">SUM(M23:M25)</f>
        <v>0</v>
      </c>
      <c r="N26" s="225">
        <f t="shared" ref="N26" si="17">SUM(N23:N25)</f>
        <v>0</v>
      </c>
      <c r="O26" s="223">
        <f t="shared" ref="O26:R26" si="18">SUM(O23:O25)</f>
        <v>1248</v>
      </c>
      <c r="P26" s="224">
        <f t="shared" si="18"/>
        <v>70</v>
      </c>
      <c r="Q26" s="224">
        <f t="shared" si="18"/>
        <v>1195</v>
      </c>
      <c r="R26" s="224">
        <f t="shared" si="18"/>
        <v>70</v>
      </c>
      <c r="S26" s="224">
        <f t="shared" ref="S26" si="19">SUM(S23:S25)</f>
        <v>0</v>
      </c>
      <c r="T26" s="225">
        <f t="shared" ref="T26" si="20">SUM(T23:T25)</f>
        <v>0</v>
      </c>
    </row>
    <row r="27" spans="1:20" x14ac:dyDescent="0.2">
      <c r="A27" s="312"/>
      <c r="B27" s="222" t="s">
        <v>182</v>
      </c>
      <c r="C27" s="241">
        <f>C26/15</f>
        <v>27</v>
      </c>
      <c r="D27" s="242">
        <f>D21/3</f>
        <v>0.66666666666666663</v>
      </c>
      <c r="E27" s="242">
        <f>E26/15</f>
        <v>30.6</v>
      </c>
      <c r="F27" s="242">
        <f>F21/3</f>
        <v>0.66666666666666663</v>
      </c>
      <c r="G27" s="242">
        <f t="shared" ref="G27" si="21">G26/15</f>
        <v>0</v>
      </c>
      <c r="H27" s="243">
        <f t="shared" ref="H27" si="22">H26/15</f>
        <v>0</v>
      </c>
      <c r="I27" s="241">
        <f>I26/15</f>
        <v>55.6</v>
      </c>
      <c r="J27" s="242">
        <f>J21/3</f>
        <v>1.6666666666666667</v>
      </c>
      <c r="K27" s="242">
        <f>K26/15</f>
        <v>53.06666666666667</v>
      </c>
      <c r="L27" s="242">
        <f>L21/3</f>
        <v>1.6666666666666667</v>
      </c>
      <c r="M27" s="242">
        <f t="shared" ref="M27" si="23">M26/15</f>
        <v>0</v>
      </c>
      <c r="N27" s="243">
        <f t="shared" ref="N27" si="24">N26/15</f>
        <v>0</v>
      </c>
      <c r="O27" s="241">
        <f>O26/15</f>
        <v>83.2</v>
      </c>
      <c r="P27" s="242">
        <f>P21/3</f>
        <v>3.3333333333333335</v>
      </c>
      <c r="Q27" s="242">
        <f>Q26/15</f>
        <v>79.666666666666671</v>
      </c>
      <c r="R27" s="242">
        <f>R21/3</f>
        <v>3.3333333333333335</v>
      </c>
      <c r="S27" s="242">
        <f t="shared" ref="S27" si="25">S26/15</f>
        <v>0</v>
      </c>
      <c r="T27" s="243">
        <f t="shared" ref="T27" si="26">T26/15</f>
        <v>0</v>
      </c>
    </row>
    <row r="28" spans="1:20" ht="16" thickBot="1" x14ac:dyDescent="0.25">
      <c r="A28" s="313"/>
      <c r="B28" s="217" t="s">
        <v>222</v>
      </c>
      <c r="C28" s="307">
        <f>SUM(C27:D27)</f>
        <v>27.666666666666668</v>
      </c>
      <c r="D28" s="305"/>
      <c r="E28" s="305">
        <f>SUM(E27:F27)</f>
        <v>31.266666666666669</v>
      </c>
      <c r="F28" s="305"/>
      <c r="G28" s="305">
        <f>SUM(G27:H27)</f>
        <v>0</v>
      </c>
      <c r="H28" s="306"/>
      <c r="I28" s="307">
        <f>SUM(I27:J27)</f>
        <v>57.266666666666666</v>
      </c>
      <c r="J28" s="305"/>
      <c r="K28" s="305">
        <f>SUM(K27:L27)</f>
        <v>54.733333333333334</v>
      </c>
      <c r="L28" s="305"/>
      <c r="M28" s="305">
        <f>SUM(M27:N27)</f>
        <v>0</v>
      </c>
      <c r="N28" s="306"/>
      <c r="O28" s="307">
        <f>SUM(O27:P27)</f>
        <v>86.533333333333331</v>
      </c>
      <c r="P28" s="305"/>
      <c r="Q28" s="305">
        <f>SUM(Q27:R27)</f>
        <v>83</v>
      </c>
      <c r="R28" s="305"/>
      <c r="S28" s="305">
        <f>SUM(S27:T27)</f>
        <v>0</v>
      </c>
      <c r="T28" s="306"/>
    </row>
    <row r="29" spans="1:20" ht="16" thickBot="1" x14ac:dyDescent="0.25">
      <c r="A29" s="254"/>
      <c r="B29" s="255"/>
      <c r="C29" s="254"/>
      <c r="D29" s="256"/>
      <c r="E29" s="256"/>
      <c r="F29" s="256"/>
      <c r="G29" s="256"/>
      <c r="H29" s="255"/>
      <c r="I29" s="254"/>
      <c r="J29" s="256"/>
      <c r="K29" s="256"/>
      <c r="L29" s="256"/>
      <c r="M29" s="256"/>
      <c r="N29" s="255"/>
      <c r="O29" s="254"/>
      <c r="P29" s="256"/>
      <c r="Q29" s="256"/>
      <c r="R29" s="256"/>
      <c r="S29" s="256"/>
      <c r="T29" s="255"/>
    </row>
    <row r="30" spans="1:20" ht="28" x14ac:dyDescent="0.2">
      <c r="A30" s="314" t="s">
        <v>206</v>
      </c>
      <c r="B30" s="138" t="s">
        <v>187</v>
      </c>
      <c r="C30" s="244">
        <f>2962</f>
        <v>2962</v>
      </c>
      <c r="D30" s="245">
        <f>247*7</f>
        <v>1729</v>
      </c>
      <c r="E30" s="245">
        <f>2962</f>
        <v>2962</v>
      </c>
      <c r="F30" s="245">
        <f>247*7</f>
        <v>1729</v>
      </c>
      <c r="G30" s="245">
        <f>545*3</f>
        <v>1635</v>
      </c>
      <c r="H30" s="246">
        <f>545*3</f>
        <v>1635</v>
      </c>
      <c r="I30" s="244">
        <f>2962</f>
        <v>2962</v>
      </c>
      <c r="J30" s="245">
        <f>247*7</f>
        <v>1729</v>
      </c>
      <c r="K30" s="245">
        <f>2962</f>
        <v>2962</v>
      </c>
      <c r="L30" s="245">
        <f>247*7</f>
        <v>1729</v>
      </c>
      <c r="M30" s="245">
        <f>545*3</f>
        <v>1635</v>
      </c>
      <c r="N30" s="246">
        <f>545*3</f>
        <v>1635</v>
      </c>
      <c r="O30" s="244">
        <f>2962</f>
        <v>2962</v>
      </c>
      <c r="P30" s="245">
        <f>247*7</f>
        <v>1729</v>
      </c>
      <c r="Q30" s="245">
        <f>2962</f>
        <v>2962</v>
      </c>
      <c r="R30" s="245">
        <f>247*7</f>
        <v>1729</v>
      </c>
      <c r="S30" s="245">
        <f>545*3</f>
        <v>1635</v>
      </c>
      <c r="T30" s="246">
        <f>545*3</f>
        <v>1635</v>
      </c>
    </row>
    <row r="31" spans="1:20" ht="42" x14ac:dyDescent="0.2">
      <c r="A31" s="315"/>
      <c r="B31" s="138" t="s">
        <v>188</v>
      </c>
      <c r="C31" s="244">
        <v>1908</v>
      </c>
      <c r="D31" s="245">
        <f>298*7</f>
        <v>2086</v>
      </c>
      <c r="E31" s="245">
        <v>1908</v>
      </c>
      <c r="F31" s="245">
        <f>298*7</f>
        <v>2086</v>
      </c>
      <c r="G31" s="245"/>
      <c r="H31" s="246"/>
      <c r="I31" s="244">
        <v>1908</v>
      </c>
      <c r="J31" s="245">
        <f>298*7</f>
        <v>2086</v>
      </c>
      <c r="K31" s="245">
        <v>1908</v>
      </c>
      <c r="L31" s="245">
        <f>298*7</f>
        <v>2086</v>
      </c>
      <c r="M31" s="245"/>
      <c r="N31" s="246"/>
      <c r="O31" s="244">
        <v>1908</v>
      </c>
      <c r="P31" s="245">
        <f>298*7</f>
        <v>2086</v>
      </c>
      <c r="Q31" s="245">
        <v>1908</v>
      </c>
      <c r="R31" s="245">
        <f>298*7</f>
        <v>2086</v>
      </c>
      <c r="S31" s="245"/>
      <c r="T31" s="246"/>
    </row>
    <row r="32" spans="1:20" x14ac:dyDescent="0.2">
      <c r="A32" s="315"/>
      <c r="B32" s="138" t="s">
        <v>186</v>
      </c>
      <c r="C32" s="244">
        <v>80</v>
      </c>
      <c r="D32" s="245">
        <v>40</v>
      </c>
      <c r="E32" s="245">
        <v>80</v>
      </c>
      <c r="F32" s="245">
        <v>40</v>
      </c>
      <c r="G32" s="245">
        <v>40</v>
      </c>
      <c r="H32" s="246">
        <v>40</v>
      </c>
      <c r="I32" s="244">
        <v>80</v>
      </c>
      <c r="J32" s="245">
        <v>40</v>
      </c>
      <c r="K32" s="245">
        <v>80</v>
      </c>
      <c r="L32" s="245">
        <v>40</v>
      </c>
      <c r="M32" s="245">
        <v>40</v>
      </c>
      <c r="N32" s="246">
        <v>40</v>
      </c>
      <c r="O32" s="244">
        <v>80</v>
      </c>
      <c r="P32" s="245">
        <v>40</v>
      </c>
      <c r="Q32" s="245">
        <v>80</v>
      </c>
      <c r="R32" s="245">
        <v>40</v>
      </c>
      <c r="S32" s="245">
        <v>40</v>
      </c>
      <c r="T32" s="246">
        <v>40</v>
      </c>
    </row>
    <row r="33" spans="1:20" ht="28" x14ac:dyDescent="0.2">
      <c r="A33" s="315"/>
      <c r="B33" s="138" t="s">
        <v>189</v>
      </c>
      <c r="C33" s="244"/>
      <c r="D33" s="245">
        <v>58</v>
      </c>
      <c r="E33" s="245"/>
      <c r="F33" s="245">
        <v>58</v>
      </c>
      <c r="G33" s="245">
        <v>58</v>
      </c>
      <c r="H33" s="246">
        <v>58</v>
      </c>
      <c r="I33" s="244"/>
      <c r="J33" s="245">
        <v>58</v>
      </c>
      <c r="K33" s="245"/>
      <c r="L33" s="245">
        <v>58</v>
      </c>
      <c r="M33" s="245">
        <v>58</v>
      </c>
      <c r="N33" s="246">
        <v>58</v>
      </c>
      <c r="O33" s="244"/>
      <c r="P33" s="245">
        <v>58</v>
      </c>
      <c r="Q33" s="245"/>
      <c r="R33" s="245">
        <v>58</v>
      </c>
      <c r="S33" s="245">
        <v>58</v>
      </c>
      <c r="T33" s="246">
        <v>58</v>
      </c>
    </row>
    <row r="34" spans="1:20" ht="29" thickBot="1" x14ac:dyDescent="0.25">
      <c r="A34" s="316"/>
      <c r="B34" s="138" t="s">
        <v>190</v>
      </c>
      <c r="C34" s="244"/>
      <c r="D34" s="245"/>
      <c r="E34" s="245"/>
      <c r="F34" s="245"/>
      <c r="G34" s="245"/>
      <c r="H34" s="246"/>
      <c r="I34" s="244">
        <v>545</v>
      </c>
      <c r="J34" s="245"/>
      <c r="K34" s="245"/>
      <c r="L34" s="245"/>
      <c r="M34" s="245"/>
      <c r="N34" s="246"/>
      <c r="O34" s="244">
        <v>545</v>
      </c>
      <c r="P34" s="245"/>
      <c r="Q34" s="245"/>
      <c r="R34" s="245"/>
      <c r="S34" s="245"/>
      <c r="T34" s="246"/>
    </row>
    <row r="35" spans="1:20" ht="16" thickBot="1" x14ac:dyDescent="0.25">
      <c r="A35" s="261"/>
      <c r="B35" s="262"/>
      <c r="C35" s="263"/>
      <c r="D35" s="264"/>
      <c r="E35" s="264"/>
      <c r="F35" s="264"/>
      <c r="G35" s="264"/>
      <c r="H35" s="265"/>
      <c r="I35" s="263"/>
      <c r="J35" s="264"/>
      <c r="K35" s="264"/>
      <c r="L35" s="264"/>
      <c r="M35" s="264"/>
      <c r="N35" s="265"/>
      <c r="O35" s="263"/>
      <c r="P35" s="264"/>
      <c r="Q35" s="264"/>
      <c r="R35" s="264"/>
      <c r="S35" s="264"/>
      <c r="T35" s="265"/>
    </row>
    <row r="36" spans="1:20" ht="16" x14ac:dyDescent="0.2">
      <c r="A36" s="311" t="s">
        <v>205</v>
      </c>
      <c r="B36" s="218" t="s">
        <v>148</v>
      </c>
      <c r="C36" s="245">
        <f>(C17+C18)*(C30+C31)</f>
        <v>121750</v>
      </c>
      <c r="D36" s="245">
        <f>(D17+D18)*(D30+D31+D33)</f>
        <v>7746</v>
      </c>
      <c r="E36" s="245">
        <f>(E17+E18)*(E30+E31)</f>
        <v>131490</v>
      </c>
      <c r="F36" s="245">
        <f>(F17+F18)*(F30+F31+F33)</f>
        <v>7746</v>
      </c>
      <c r="G36" s="245">
        <v>0</v>
      </c>
      <c r="H36" s="246">
        <v>0</v>
      </c>
      <c r="I36" s="244">
        <f>(I17+I18)*(I30+I31)</f>
        <v>228890</v>
      </c>
      <c r="J36" s="245">
        <f>(J17+J18)*(J30+J31+J33)</f>
        <v>19365</v>
      </c>
      <c r="K36" s="245">
        <f>(K17+K18)*(K30+K31)</f>
        <v>233760</v>
      </c>
      <c r="L36" s="245">
        <f>(L17+L18)*(L30+L31+L33)</f>
        <v>19365</v>
      </c>
      <c r="M36" s="245">
        <f>(M17+M18)*(M30+M31+M33)</f>
        <v>0</v>
      </c>
      <c r="N36" s="245">
        <f>(N17+N18)*(N30+N31+N33)</f>
        <v>0</v>
      </c>
      <c r="O36" s="244">
        <f>(O17+O18)*(O30+O31)</f>
        <v>350640</v>
      </c>
      <c r="P36" s="245">
        <f>(P17+P18)*(P30+P31+P33)</f>
        <v>38730</v>
      </c>
      <c r="Q36" s="245">
        <f>(Q17+Q18)*(Q30+Q31)</f>
        <v>360380</v>
      </c>
      <c r="R36" s="245">
        <f>(R17+R18)*(R30+R31+R33)</f>
        <v>38730</v>
      </c>
      <c r="S36" s="245">
        <f>(S17+S18)*(S30+S31+S33)</f>
        <v>0</v>
      </c>
      <c r="T36" s="246">
        <f>(T17+T18)*(T30+T31+T33)</f>
        <v>0</v>
      </c>
    </row>
    <row r="37" spans="1:20" ht="30" x14ac:dyDescent="0.2">
      <c r="A37" s="312"/>
      <c r="B37" s="219" t="s">
        <v>149</v>
      </c>
      <c r="C37" s="245">
        <f>C16*(C30+C31)</f>
        <v>9740</v>
      </c>
      <c r="D37" s="245">
        <f>D16*(D30+D31+D33)</f>
        <v>0</v>
      </c>
      <c r="E37" s="245">
        <f>E16*(E30+E31)</f>
        <v>0</v>
      </c>
      <c r="F37" s="245">
        <f>F16*(F30+F31+F33)</f>
        <v>0</v>
      </c>
      <c r="G37" s="245"/>
      <c r="H37" s="246"/>
      <c r="I37" s="244">
        <f>I16*(I30+I31)</f>
        <v>14610</v>
      </c>
      <c r="J37" s="245">
        <f>J16*(J30+J31+J33)</f>
        <v>0</v>
      </c>
      <c r="K37" s="245">
        <f>K16*(K30+K31)</f>
        <v>0</v>
      </c>
      <c r="L37" s="245">
        <f>L16*(L30+L31+L33)</f>
        <v>0</v>
      </c>
      <c r="M37" s="245"/>
      <c r="N37" s="246"/>
      <c r="O37" s="244">
        <f>O16*(O30+O31)</f>
        <v>19480</v>
      </c>
      <c r="P37" s="245">
        <f>P16*(P30+P31+P33)</f>
        <v>0</v>
      </c>
      <c r="Q37" s="245">
        <f>Q16*(Q30+Q31)</f>
        <v>0</v>
      </c>
      <c r="R37" s="245">
        <f>R16*(R30+R31+R33)</f>
        <v>0</v>
      </c>
      <c r="S37" s="245"/>
      <c r="T37" s="246"/>
    </row>
    <row r="38" spans="1:20" ht="48" customHeight="1" x14ac:dyDescent="0.2">
      <c r="A38" s="312"/>
      <c r="B38" s="219" t="s">
        <v>150</v>
      </c>
      <c r="C38" s="245">
        <f>C21*C32</f>
        <v>2160</v>
      </c>
      <c r="D38" s="245">
        <f>D32*D21</f>
        <v>80</v>
      </c>
      <c r="E38" s="245">
        <f>E21*E32</f>
        <v>2160</v>
      </c>
      <c r="F38" s="245">
        <f>F32*F21</f>
        <v>80</v>
      </c>
      <c r="G38" s="245">
        <f>G32*G21</f>
        <v>0</v>
      </c>
      <c r="H38" s="245">
        <f>H32*H21</f>
        <v>0</v>
      </c>
      <c r="I38" s="244">
        <f>I21*I32</f>
        <v>4000</v>
      </c>
      <c r="J38" s="245">
        <f>J32*J21</f>
        <v>200</v>
      </c>
      <c r="K38" s="245">
        <f>K21*K32</f>
        <v>3840</v>
      </c>
      <c r="L38" s="245">
        <f>L32*L21</f>
        <v>200</v>
      </c>
      <c r="M38" s="245">
        <f>M32*M21</f>
        <v>0</v>
      </c>
      <c r="N38" s="245">
        <f>N32*N21</f>
        <v>0</v>
      </c>
      <c r="O38" s="244">
        <f>O21*O32</f>
        <v>6080</v>
      </c>
      <c r="P38" s="245">
        <f>P32*P21</f>
        <v>400</v>
      </c>
      <c r="Q38" s="245">
        <f>Q21*Q32</f>
        <v>5920</v>
      </c>
      <c r="R38" s="245">
        <f>R32*R21</f>
        <v>400</v>
      </c>
      <c r="S38" s="245">
        <f>S32*S21</f>
        <v>0</v>
      </c>
      <c r="T38" s="246">
        <f>T32*T21</f>
        <v>0</v>
      </c>
    </row>
    <row r="39" spans="1:20" ht="42" x14ac:dyDescent="0.2">
      <c r="A39" s="312"/>
      <c r="B39" s="219" t="s">
        <v>151</v>
      </c>
      <c r="C39" s="245"/>
      <c r="D39" s="245"/>
      <c r="E39" s="245"/>
      <c r="F39" s="245"/>
      <c r="G39" s="245"/>
      <c r="H39" s="246"/>
      <c r="I39" s="244">
        <f>I34*I6</f>
        <v>11445</v>
      </c>
      <c r="J39" s="245"/>
      <c r="K39" s="245"/>
      <c r="L39" s="245"/>
      <c r="M39" s="245"/>
      <c r="N39" s="246"/>
      <c r="O39" s="244">
        <f>O34*O10</f>
        <v>13625</v>
      </c>
      <c r="P39" s="245"/>
      <c r="Q39" s="245"/>
      <c r="R39" s="245"/>
      <c r="S39" s="245"/>
      <c r="T39" s="246"/>
    </row>
    <row r="40" spans="1:20" ht="16" thickBot="1" x14ac:dyDescent="0.25">
      <c r="A40" s="216"/>
      <c r="B40" s="217"/>
      <c r="C40" s="253">
        <f>SUM(C36:H39)</f>
        <v>282952</v>
      </c>
      <c r="D40" s="247"/>
      <c r="E40" s="247"/>
      <c r="F40" s="247"/>
      <c r="G40" s="247"/>
      <c r="H40" s="248"/>
      <c r="I40" s="249">
        <f>SUM(I36:N39)</f>
        <v>535675</v>
      </c>
      <c r="J40" s="247"/>
      <c r="K40" s="247"/>
      <c r="L40" s="247"/>
      <c r="M40" s="247"/>
      <c r="N40" s="248"/>
      <c r="O40" s="249">
        <f>SUM(O36:T39)</f>
        <v>834385</v>
      </c>
      <c r="P40" s="247"/>
      <c r="Q40" s="247"/>
      <c r="R40" s="247"/>
      <c r="S40" s="247"/>
      <c r="T40" s="248"/>
    </row>
    <row r="44" spans="1:20" x14ac:dyDescent="0.2">
      <c r="C44" t="s">
        <v>213</v>
      </c>
    </row>
  </sheetData>
  <mergeCells count="28">
    <mergeCell ref="A21:A28"/>
    <mergeCell ref="A30:A34"/>
    <mergeCell ref="A36:A39"/>
    <mergeCell ref="A4:A7"/>
    <mergeCell ref="A8:A11"/>
    <mergeCell ref="A12:A15"/>
    <mergeCell ref="A16:A19"/>
    <mergeCell ref="Q28:R28"/>
    <mergeCell ref="S28:T28"/>
    <mergeCell ref="O2:P2"/>
    <mergeCell ref="Q2:R2"/>
    <mergeCell ref="S2:T2"/>
    <mergeCell ref="C1:H1"/>
    <mergeCell ref="I1:N1"/>
    <mergeCell ref="O1:T1"/>
    <mergeCell ref="M28:N28"/>
    <mergeCell ref="O28:P28"/>
    <mergeCell ref="C2:D2"/>
    <mergeCell ref="E2:F2"/>
    <mergeCell ref="G2:H2"/>
    <mergeCell ref="I2:J2"/>
    <mergeCell ref="K2:L2"/>
    <mergeCell ref="M2:N2"/>
    <mergeCell ref="C28:D28"/>
    <mergeCell ref="E28:F28"/>
    <mergeCell ref="G28:H28"/>
    <mergeCell ref="I28:J28"/>
    <mergeCell ref="K28:L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68"/>
  <sheetViews>
    <sheetView tabSelected="1" topLeftCell="A23" workbookViewId="0">
      <selection activeCell="H47" sqref="H47"/>
    </sheetView>
  </sheetViews>
  <sheetFormatPr baseColWidth="10" defaultColWidth="9.1640625" defaultRowHeight="16" x14ac:dyDescent="0.2"/>
  <cols>
    <col min="1" max="1" width="29" style="34" customWidth="1"/>
    <col min="2" max="2" width="21.83203125" style="34" customWidth="1"/>
    <col min="3" max="3" width="11.5" style="34" bestFit="1" customWidth="1"/>
    <col min="4" max="4" width="11" style="34" bestFit="1" customWidth="1"/>
    <col min="5" max="5" width="10.83203125" style="34" customWidth="1"/>
    <col min="6" max="6" width="12" style="34" bestFit="1" customWidth="1"/>
    <col min="7" max="8" width="11.5" style="34" customWidth="1"/>
    <col min="9" max="10" width="10.1640625" style="34" bestFit="1" customWidth="1"/>
    <col min="11" max="11" width="10.1640625" style="34" customWidth="1"/>
    <col min="12" max="12" width="9.5" style="34" bestFit="1" customWidth="1"/>
    <col min="13" max="14" width="9.1640625" style="34" customWidth="1"/>
    <col min="15" max="15" width="12.33203125" style="34" customWidth="1"/>
    <col min="16" max="16" width="11.5" style="34" customWidth="1"/>
    <col min="17" max="17" width="12.33203125" style="34" customWidth="1"/>
    <col min="18" max="18" width="14.83203125" style="34" customWidth="1"/>
    <col min="19" max="19" width="32.5" style="34" customWidth="1"/>
    <col min="20" max="20" width="11.5" style="34" customWidth="1"/>
    <col min="21" max="21" width="10.83203125" style="34" bestFit="1" customWidth="1"/>
    <col min="22" max="22" width="11.33203125" style="34" bestFit="1" customWidth="1"/>
    <col min="23" max="23" width="9.83203125" style="34" bestFit="1" customWidth="1"/>
    <col min="24" max="24" width="10.83203125" style="34" bestFit="1" customWidth="1"/>
    <col min="25" max="25" width="9.6640625" style="34" bestFit="1" customWidth="1"/>
    <col min="26" max="26" width="10.1640625" style="34" bestFit="1" customWidth="1"/>
    <col min="27" max="27" width="9.33203125" style="34" bestFit="1" customWidth="1"/>
    <col min="28" max="28" width="11.1640625" style="34" bestFit="1" customWidth="1"/>
    <col min="29" max="29" width="10.1640625" style="34" bestFit="1" customWidth="1"/>
    <col min="30" max="30" width="9.33203125" style="34" bestFit="1" customWidth="1"/>
    <col min="31" max="31" width="9.5" style="34" bestFit="1" customWidth="1"/>
    <col min="32" max="32" width="9.33203125" style="34" bestFit="1" customWidth="1"/>
    <col min="33" max="16384" width="9.1640625" style="34"/>
  </cols>
  <sheetData>
    <row r="1" spans="1:29" s="53" customFormat="1" ht="31.5" customHeight="1" x14ac:dyDescent="0.2">
      <c r="A1" s="53" t="s">
        <v>214</v>
      </c>
      <c r="I1" s="54"/>
      <c r="J1" s="54"/>
      <c r="K1" s="54"/>
      <c r="L1" s="54"/>
      <c r="M1" s="54"/>
      <c r="N1" s="54"/>
      <c r="O1" s="54"/>
      <c r="P1" s="54"/>
      <c r="T1" s="339"/>
      <c r="U1" s="339"/>
      <c r="V1" s="340"/>
      <c r="W1" s="340"/>
      <c r="X1" s="340"/>
      <c r="Y1" s="340"/>
      <c r="Z1" s="340"/>
      <c r="AA1" s="340"/>
      <c r="AB1" s="340"/>
      <c r="AC1" s="340"/>
    </row>
    <row r="2" spans="1:29" s="53" customFormat="1" ht="31.5" customHeight="1" x14ac:dyDescent="0.2">
      <c r="A2" s="96" t="s">
        <v>111</v>
      </c>
      <c r="I2" s="54"/>
      <c r="J2" s="54"/>
      <c r="K2" s="54"/>
      <c r="L2" s="54"/>
      <c r="M2" s="54"/>
      <c r="N2" s="54"/>
      <c r="O2" s="54"/>
      <c r="P2" s="54"/>
    </row>
    <row r="3" spans="1:29" ht="17" thickBot="1" x14ac:dyDescent="0.25">
      <c r="A3" s="48"/>
      <c r="B3" s="53"/>
      <c r="C3" s="53"/>
      <c r="D3" s="53"/>
      <c r="E3" s="53"/>
      <c r="F3" s="53"/>
      <c r="G3" s="53"/>
      <c r="H3" s="53"/>
      <c r="I3" s="54"/>
      <c r="J3" s="54"/>
      <c r="K3" s="54"/>
      <c r="L3" s="54"/>
      <c r="M3" s="54"/>
      <c r="N3" s="54"/>
      <c r="O3" s="54"/>
      <c r="P3" s="54"/>
      <c r="Q3" s="48"/>
      <c r="R3" s="48"/>
      <c r="S3" s="48"/>
      <c r="T3" s="48"/>
      <c r="U3" s="48"/>
      <c r="V3" s="48"/>
      <c r="W3" s="48"/>
      <c r="X3" s="48"/>
      <c r="Y3" s="48"/>
      <c r="Z3" s="48"/>
    </row>
    <row r="4" spans="1:29" ht="17" thickBot="1" x14ac:dyDescent="0.25">
      <c r="A4" s="48"/>
      <c r="B4" s="55" t="s">
        <v>110</v>
      </c>
      <c r="C4" s="341" t="s">
        <v>89</v>
      </c>
      <c r="D4" s="343"/>
      <c r="E4" s="342"/>
      <c r="F4" s="341" t="s">
        <v>90</v>
      </c>
      <c r="G4" s="343"/>
      <c r="H4" s="342"/>
      <c r="I4" s="341" t="s">
        <v>91</v>
      </c>
      <c r="J4" s="343"/>
      <c r="K4" s="342"/>
      <c r="L4" s="341" t="s">
        <v>92</v>
      </c>
      <c r="M4" s="343"/>
      <c r="N4" s="342"/>
      <c r="O4" s="341" t="s">
        <v>93</v>
      </c>
      <c r="P4" s="342"/>
      <c r="Q4" s="48" t="s">
        <v>94</v>
      </c>
      <c r="R4" s="48"/>
      <c r="T4" s="53"/>
      <c r="U4" s="53"/>
      <c r="V4" s="53"/>
      <c r="W4" s="48"/>
      <c r="X4" s="48"/>
      <c r="Y4" s="48"/>
      <c r="Z4" s="48"/>
    </row>
    <row r="5" spans="1:29" ht="17" thickBot="1" x14ac:dyDescent="0.25">
      <c r="A5" s="48"/>
      <c r="B5" s="55"/>
      <c r="C5" s="175" t="s">
        <v>112</v>
      </c>
      <c r="D5" s="97" t="s">
        <v>113</v>
      </c>
      <c r="E5" s="176" t="s">
        <v>191</v>
      </c>
      <c r="F5" s="175" t="s">
        <v>112</v>
      </c>
      <c r="G5" s="97" t="s">
        <v>113</v>
      </c>
      <c r="H5" s="176" t="s">
        <v>191</v>
      </c>
      <c r="I5" s="175" t="s">
        <v>112</v>
      </c>
      <c r="J5" s="97" t="s">
        <v>113</v>
      </c>
      <c r="K5" s="176" t="s">
        <v>191</v>
      </c>
      <c r="L5" s="175" t="s">
        <v>112</v>
      </c>
      <c r="M5" s="97" t="s">
        <v>113</v>
      </c>
      <c r="N5" s="176" t="s">
        <v>191</v>
      </c>
      <c r="O5" s="175" t="s">
        <v>112</v>
      </c>
      <c r="P5" s="176" t="s">
        <v>113</v>
      </c>
      <c r="Q5" s="48"/>
      <c r="R5" s="48"/>
      <c r="T5" s="53"/>
      <c r="U5" s="53"/>
      <c r="V5" s="53"/>
      <c r="W5" s="48"/>
      <c r="X5" s="48"/>
      <c r="Y5" s="48"/>
      <c r="Z5" s="48"/>
    </row>
    <row r="6" spans="1:29" ht="17" x14ac:dyDescent="0.2">
      <c r="A6" s="87" t="s">
        <v>75</v>
      </c>
      <c r="B6" s="97" t="s">
        <v>95</v>
      </c>
      <c r="C6" s="196">
        <v>0</v>
      </c>
      <c r="D6" s="197">
        <v>3</v>
      </c>
      <c r="E6" s="203"/>
      <c r="F6" s="196">
        <v>3</v>
      </c>
      <c r="G6" s="197">
        <v>6</v>
      </c>
      <c r="H6" s="203"/>
      <c r="I6" s="196">
        <v>9</v>
      </c>
      <c r="J6" s="197">
        <v>9</v>
      </c>
      <c r="K6" s="203"/>
      <c r="L6" s="197">
        <v>14</v>
      </c>
      <c r="M6" s="197">
        <v>11</v>
      </c>
      <c r="N6" s="197"/>
      <c r="O6" s="198"/>
      <c r="P6" s="199"/>
      <c r="Q6" s="48">
        <f>SUM(C6:P6)</f>
        <v>55</v>
      </c>
      <c r="R6" s="48"/>
      <c r="T6" s="53"/>
      <c r="U6" s="53"/>
      <c r="V6" s="53"/>
      <c r="W6" s="48"/>
      <c r="X6" s="48"/>
      <c r="Y6" s="48"/>
      <c r="Z6" s="48"/>
    </row>
    <row r="7" spans="1:29" ht="17" thickBot="1" x14ac:dyDescent="0.25">
      <c r="A7" s="88"/>
      <c r="B7" s="98" t="s">
        <v>96</v>
      </c>
      <c r="C7" s="194">
        <v>0</v>
      </c>
      <c r="D7" s="200">
        <v>0</v>
      </c>
      <c r="E7" s="195"/>
      <c r="F7" s="194">
        <v>0</v>
      </c>
      <c r="G7" s="200">
        <v>0</v>
      </c>
      <c r="H7" s="195"/>
      <c r="I7" s="206">
        <v>3</v>
      </c>
      <c r="J7" s="200">
        <v>3</v>
      </c>
      <c r="K7" s="195"/>
      <c r="L7" s="200">
        <v>3</v>
      </c>
      <c r="M7" s="200">
        <v>0</v>
      </c>
      <c r="N7" s="200"/>
      <c r="O7" s="201"/>
      <c r="P7" s="202"/>
      <c r="Q7" s="48">
        <f>SUM(C7:P7)</f>
        <v>9</v>
      </c>
      <c r="R7" s="48"/>
      <c r="T7" s="56"/>
      <c r="U7" s="53"/>
      <c r="V7" s="53"/>
      <c r="W7" s="48"/>
      <c r="X7" s="48"/>
      <c r="Y7" s="48"/>
      <c r="Z7" s="48"/>
    </row>
    <row r="8" spans="1:29" ht="17" x14ac:dyDescent="0.2">
      <c r="A8" s="89" t="s">
        <v>76</v>
      </c>
      <c r="B8" s="97" t="s">
        <v>95</v>
      </c>
      <c r="C8" s="204"/>
      <c r="D8" s="91"/>
      <c r="E8" s="205"/>
      <c r="F8" s="196">
        <v>0</v>
      </c>
      <c r="G8" s="197">
        <v>6</v>
      </c>
      <c r="H8" s="203"/>
      <c r="I8" s="196">
        <v>6</v>
      </c>
      <c r="J8" s="197">
        <v>6</v>
      </c>
      <c r="K8" s="203"/>
      <c r="L8" s="196">
        <v>18</v>
      </c>
      <c r="M8" s="197">
        <v>18</v>
      </c>
      <c r="N8" s="203"/>
      <c r="O8" s="177"/>
      <c r="P8" s="178"/>
      <c r="Q8" s="48">
        <f>SUM(Q6:Q7)</f>
        <v>64</v>
      </c>
      <c r="R8" s="48"/>
      <c r="T8" s="57"/>
      <c r="U8" s="53"/>
      <c r="V8" s="53"/>
      <c r="W8" s="48"/>
      <c r="X8" s="48"/>
      <c r="Y8" s="48"/>
      <c r="Z8" s="48"/>
    </row>
    <row r="9" spans="1:29" ht="17" thickBot="1" x14ac:dyDescent="0.25">
      <c r="A9" s="90"/>
      <c r="B9" s="98" t="s">
        <v>96</v>
      </c>
      <c r="C9" s="183"/>
      <c r="D9" s="92"/>
      <c r="E9" s="184"/>
      <c r="F9" s="194">
        <v>0</v>
      </c>
      <c r="G9" s="200">
        <v>0</v>
      </c>
      <c r="H9" s="195"/>
      <c r="I9" s="194">
        <v>0</v>
      </c>
      <c r="J9" s="200">
        <v>6</v>
      </c>
      <c r="K9" s="195"/>
      <c r="L9" s="206">
        <v>6</v>
      </c>
      <c r="M9" s="200">
        <v>6</v>
      </c>
      <c r="N9" s="195"/>
      <c r="O9" s="179"/>
      <c r="P9" s="180"/>
      <c r="Q9" s="48"/>
      <c r="R9" s="48"/>
      <c r="T9" s="57"/>
      <c r="U9" s="53"/>
      <c r="V9" s="53"/>
      <c r="W9" s="48"/>
      <c r="X9" s="48"/>
      <c r="Y9" s="48"/>
      <c r="Z9" s="48"/>
    </row>
    <row r="10" spans="1:29" ht="17" x14ac:dyDescent="0.2">
      <c r="A10" s="87" t="s">
        <v>77</v>
      </c>
      <c r="B10" s="97" t="s">
        <v>95</v>
      </c>
      <c r="C10" s="204"/>
      <c r="D10" s="91"/>
      <c r="E10" s="205"/>
      <c r="F10" s="204"/>
      <c r="G10" s="91"/>
      <c r="H10" s="205"/>
      <c r="I10" s="196">
        <v>0</v>
      </c>
      <c r="J10" s="197">
        <v>0</v>
      </c>
      <c r="K10" s="203"/>
      <c r="L10" s="196">
        <v>6</v>
      </c>
      <c r="M10" s="197">
        <v>6</v>
      </c>
      <c r="N10" s="203"/>
      <c r="O10" s="177"/>
      <c r="P10" s="178"/>
      <c r="Q10" s="48"/>
      <c r="R10" s="48"/>
      <c r="T10" s="57"/>
      <c r="U10" s="53"/>
      <c r="V10" s="53"/>
      <c r="W10" s="48"/>
      <c r="X10" s="48"/>
      <c r="Y10" s="48"/>
      <c r="Z10" s="48"/>
    </row>
    <row r="11" spans="1:29" ht="17" thickBot="1" x14ac:dyDescent="0.25">
      <c r="A11" s="88"/>
      <c r="B11" s="98" t="s">
        <v>96</v>
      </c>
      <c r="C11" s="183"/>
      <c r="D11" s="92"/>
      <c r="E11" s="184"/>
      <c r="F11" s="183"/>
      <c r="G11" s="92"/>
      <c r="H11" s="184"/>
      <c r="I11" s="194">
        <v>0</v>
      </c>
      <c r="J11" s="200">
        <v>6</v>
      </c>
      <c r="K11" s="195"/>
      <c r="L11" s="194">
        <v>0</v>
      </c>
      <c r="M11" s="200">
        <v>6</v>
      </c>
      <c r="N11" s="195"/>
      <c r="O11" s="185"/>
      <c r="P11" s="180"/>
      <c r="Q11" s="48"/>
      <c r="R11" s="48"/>
      <c r="T11" s="48"/>
      <c r="U11" s="48"/>
      <c r="V11" s="48"/>
      <c r="W11" s="48"/>
      <c r="X11" s="48"/>
      <c r="Y11" s="48"/>
      <c r="Z11" s="48"/>
    </row>
    <row r="12" spans="1:29" ht="17" x14ac:dyDescent="0.2">
      <c r="A12" s="89" t="s">
        <v>109</v>
      </c>
      <c r="B12" s="97" t="s">
        <v>95</v>
      </c>
      <c r="C12" s="204"/>
      <c r="D12" s="91"/>
      <c r="E12" s="205"/>
      <c r="F12" s="204"/>
      <c r="G12" s="91"/>
      <c r="H12" s="205"/>
      <c r="I12" s="207"/>
      <c r="J12" s="93"/>
      <c r="K12" s="208"/>
      <c r="L12" s="196">
        <v>0</v>
      </c>
      <c r="M12" s="197">
        <v>0</v>
      </c>
      <c r="N12" s="203"/>
      <c r="O12" s="177"/>
      <c r="P12" s="178"/>
      <c r="Q12" s="48"/>
      <c r="R12" s="48"/>
      <c r="T12" s="48"/>
      <c r="U12" s="48"/>
      <c r="V12" s="48"/>
      <c r="W12" s="48"/>
      <c r="X12" s="48"/>
      <c r="Y12" s="48"/>
      <c r="Z12" s="48"/>
    </row>
    <row r="13" spans="1:29" ht="17" thickBot="1" x14ac:dyDescent="0.25">
      <c r="A13" s="50"/>
      <c r="B13" s="98" t="s">
        <v>96</v>
      </c>
      <c r="C13" s="183"/>
      <c r="D13" s="92"/>
      <c r="E13" s="184"/>
      <c r="F13" s="183"/>
      <c r="G13" s="92"/>
      <c r="H13" s="184"/>
      <c r="I13" s="188"/>
      <c r="J13" s="94"/>
      <c r="K13" s="189"/>
      <c r="L13" s="194">
        <v>0</v>
      </c>
      <c r="M13" s="200">
        <v>6</v>
      </c>
      <c r="N13" s="195"/>
      <c r="O13" s="179"/>
      <c r="P13" s="180"/>
      <c r="Q13" s="48"/>
      <c r="R13" s="48"/>
      <c r="T13" s="59"/>
      <c r="U13" s="48"/>
      <c r="V13" s="48"/>
      <c r="W13" s="48"/>
      <c r="X13" s="48"/>
      <c r="Y13" s="48"/>
      <c r="Z13" s="48"/>
    </row>
    <row r="14" spans="1:29" ht="17" x14ac:dyDescent="0.2">
      <c r="A14" s="89" t="s">
        <v>85</v>
      </c>
      <c r="B14" s="97" t="s">
        <v>95</v>
      </c>
      <c r="C14" s="181"/>
      <c r="D14" s="173"/>
      <c r="E14" s="182"/>
      <c r="F14" s="181"/>
      <c r="G14" s="173"/>
      <c r="H14" s="182"/>
      <c r="I14" s="186"/>
      <c r="J14" s="60"/>
      <c r="K14" s="187"/>
      <c r="L14" s="190"/>
      <c r="M14" s="174"/>
      <c r="N14" s="191"/>
      <c r="O14" s="177"/>
      <c r="P14" s="178"/>
      <c r="Q14" s="48"/>
      <c r="R14" s="48"/>
      <c r="S14" s="48"/>
      <c r="T14" s="59"/>
      <c r="U14" s="48"/>
      <c r="V14" s="48"/>
      <c r="W14" s="48"/>
      <c r="X14" s="48"/>
      <c r="Y14" s="48"/>
      <c r="Z14" s="48"/>
    </row>
    <row r="15" spans="1:29" ht="17" thickBot="1" x14ac:dyDescent="0.25">
      <c r="A15" s="50"/>
      <c r="B15" s="98" t="s">
        <v>96</v>
      </c>
      <c r="C15" s="183"/>
      <c r="D15" s="92"/>
      <c r="E15" s="184"/>
      <c r="F15" s="183"/>
      <c r="G15" s="92"/>
      <c r="H15" s="184"/>
      <c r="I15" s="188"/>
      <c r="J15" s="94"/>
      <c r="K15" s="189"/>
      <c r="L15" s="192"/>
      <c r="M15" s="95"/>
      <c r="N15" s="193"/>
      <c r="O15" s="194"/>
      <c r="P15" s="195"/>
      <c r="Q15" s="48"/>
      <c r="R15" s="48"/>
      <c r="S15" s="58"/>
      <c r="T15" s="59"/>
      <c r="U15" s="48"/>
      <c r="V15" s="48"/>
      <c r="W15" s="48"/>
      <c r="X15" s="48"/>
      <c r="Y15" s="48"/>
      <c r="Z15" s="48"/>
    </row>
    <row r="16" spans="1:29" x14ac:dyDescent="0.2">
      <c r="A16" s="48"/>
      <c r="B16" s="42"/>
      <c r="C16" s="48"/>
      <c r="D16" s="48"/>
      <c r="E16" s="48"/>
      <c r="F16" s="48"/>
      <c r="G16" s="48"/>
      <c r="H16" s="48"/>
      <c r="I16" s="60"/>
      <c r="J16" s="60"/>
      <c r="K16" s="60"/>
      <c r="L16" s="60"/>
      <c r="M16" s="60"/>
      <c r="N16" s="60"/>
      <c r="O16" s="60"/>
      <c r="Q16" s="60"/>
      <c r="R16" s="48"/>
      <c r="S16" s="38" t="s">
        <v>97</v>
      </c>
      <c r="T16" s="39"/>
      <c r="U16" s="39"/>
      <c r="V16" s="39"/>
      <c r="W16" s="39"/>
      <c r="X16" s="40"/>
      <c r="Y16" s="48"/>
      <c r="Z16" s="48"/>
    </row>
    <row r="17" spans="1:26" ht="51" x14ac:dyDescent="0.2">
      <c r="A17" s="48"/>
      <c r="B17" s="42" t="s">
        <v>95</v>
      </c>
      <c r="C17" s="333">
        <f>C6+D6</f>
        <v>3</v>
      </c>
      <c r="D17" s="334"/>
      <c r="E17" s="211">
        <f>E6</f>
        <v>0</v>
      </c>
      <c r="F17" s="333">
        <f>F6+G6+F8+G8</f>
        <v>15</v>
      </c>
      <c r="G17" s="334"/>
      <c r="H17" s="209">
        <f>H6+H8</f>
        <v>0</v>
      </c>
      <c r="I17" s="333">
        <f>I6+J6+I8+J8+I10+J10</f>
        <v>30</v>
      </c>
      <c r="J17" s="334"/>
      <c r="K17" s="209">
        <f>K6+K8+K10</f>
        <v>0</v>
      </c>
      <c r="L17" s="333">
        <f>L6+M6+L8+M8+L10+M10+L12+M12</f>
        <v>73</v>
      </c>
      <c r="M17" s="334"/>
      <c r="N17" s="209">
        <f>N12+N10+N8+N6</f>
        <v>0</v>
      </c>
      <c r="O17" s="333">
        <f>O6+P6+O8+P8+O10+P10+O12+P12+O14+P14</f>
        <v>0</v>
      </c>
      <c r="P17" s="335"/>
      <c r="Q17" s="42"/>
      <c r="R17" s="48"/>
      <c r="S17" s="41" t="s">
        <v>216</v>
      </c>
      <c r="T17" s="48" t="s">
        <v>99</v>
      </c>
      <c r="U17" s="61"/>
      <c r="V17" s="61" t="s">
        <v>211</v>
      </c>
      <c r="W17" s="61"/>
      <c r="X17" s="62" t="s">
        <v>210</v>
      </c>
      <c r="Y17" s="48"/>
      <c r="Z17" s="48"/>
    </row>
    <row r="18" spans="1:26" x14ac:dyDescent="0.2">
      <c r="A18" s="48"/>
      <c r="B18" s="42" t="s">
        <v>96</v>
      </c>
      <c r="C18" s="336">
        <f>C7+D7</f>
        <v>0</v>
      </c>
      <c r="D18" s="337"/>
      <c r="E18" s="210">
        <f>E7</f>
        <v>0</v>
      </c>
      <c r="F18" s="336">
        <f>F7+G7+F9+G9+G3</f>
        <v>0</v>
      </c>
      <c r="G18" s="337"/>
      <c r="H18" s="210">
        <f>H9+H7</f>
        <v>0</v>
      </c>
      <c r="I18" s="336">
        <f>I7+J7+I9+J9+I11+J11</f>
        <v>18</v>
      </c>
      <c r="J18" s="337"/>
      <c r="K18" s="210">
        <f>K11+K9+K7</f>
        <v>0</v>
      </c>
      <c r="L18" s="336">
        <f>L7+M7+L9+M9+L11+M11+L13+M13</f>
        <v>27</v>
      </c>
      <c r="M18" s="337"/>
      <c r="N18" s="210">
        <f>N13+N11+N9+N7</f>
        <v>0</v>
      </c>
      <c r="O18" s="336">
        <f>O7+P7+O9+P9+O11+P11+O13+P13+P3</f>
        <v>0</v>
      </c>
      <c r="P18" s="338"/>
      <c r="Q18" s="42"/>
      <c r="R18" s="48"/>
      <c r="S18" s="63">
        <f>(V18+(V18*X18))/24</f>
        <v>7372.9196000000002</v>
      </c>
      <c r="T18" s="47" t="s">
        <v>100</v>
      </c>
      <c r="U18" s="61"/>
      <c r="V18" s="64">
        <v>102118</v>
      </c>
      <c r="W18" s="64"/>
      <c r="X18" s="266">
        <v>0.73280000000000001</v>
      </c>
      <c r="Y18" s="48"/>
      <c r="Z18" s="48"/>
    </row>
    <row r="19" spans="1:26" x14ac:dyDescent="0.2">
      <c r="A19" s="48"/>
      <c r="B19" s="48"/>
      <c r="C19" s="48"/>
      <c r="D19" s="48"/>
      <c r="E19" s="48"/>
      <c r="F19" s="48"/>
      <c r="G19" s="48"/>
      <c r="H19" s="48"/>
      <c r="I19" s="60"/>
      <c r="J19" s="60"/>
      <c r="K19" s="60"/>
      <c r="L19" s="60"/>
      <c r="M19" s="60"/>
      <c r="N19" s="60"/>
      <c r="O19" s="60"/>
      <c r="P19" s="60"/>
      <c r="Q19" s="60"/>
      <c r="R19" s="48"/>
      <c r="S19" s="41"/>
      <c r="T19" s="48" t="s">
        <v>101</v>
      </c>
      <c r="U19" s="61"/>
      <c r="V19" s="65"/>
      <c r="W19" s="65"/>
      <c r="X19" s="49"/>
      <c r="Y19" s="48"/>
      <c r="Z19" s="48"/>
    </row>
    <row r="20" spans="1:26" ht="17" thickBot="1" x14ac:dyDescent="0.25">
      <c r="A20" s="328" t="s">
        <v>102</v>
      </c>
      <c r="B20" s="329"/>
      <c r="C20" s="330">
        <f>C17/24</f>
        <v>0.125</v>
      </c>
      <c r="D20" s="332"/>
      <c r="E20" s="331"/>
      <c r="F20" s="330">
        <f>F17/24</f>
        <v>0.625</v>
      </c>
      <c r="G20" s="332"/>
      <c r="H20" s="331"/>
      <c r="I20" s="330">
        <f>I17/24</f>
        <v>1.25</v>
      </c>
      <c r="J20" s="332"/>
      <c r="K20" s="331"/>
      <c r="L20" s="330">
        <f>L17/24</f>
        <v>3.0416666666666665</v>
      </c>
      <c r="M20" s="332"/>
      <c r="N20" s="331"/>
      <c r="O20" s="330">
        <f>O17/24</f>
        <v>0</v>
      </c>
      <c r="P20" s="331"/>
      <c r="Q20" s="66"/>
      <c r="R20" s="67"/>
      <c r="S20" s="50"/>
      <c r="T20" s="68"/>
      <c r="U20" s="68"/>
      <c r="V20" s="68"/>
      <c r="W20" s="68"/>
      <c r="X20" s="69"/>
      <c r="Y20" s="48"/>
      <c r="Z20" s="48"/>
    </row>
    <row r="21" spans="1:26" ht="19" customHeight="1" thickBot="1" x14ac:dyDescent="0.25">
      <c r="A21" s="321" t="s">
        <v>215</v>
      </c>
      <c r="B21" s="322"/>
      <c r="C21" s="323">
        <f>C18/8</f>
        <v>0</v>
      </c>
      <c r="D21" s="324"/>
      <c r="E21" s="325"/>
      <c r="F21" s="323">
        <f>F18/8</f>
        <v>0</v>
      </c>
      <c r="G21" s="324"/>
      <c r="H21" s="325"/>
      <c r="I21" s="323">
        <f>I18/8</f>
        <v>2.25</v>
      </c>
      <c r="J21" s="324"/>
      <c r="K21" s="325"/>
      <c r="L21" s="323">
        <f>L18/8</f>
        <v>3.375</v>
      </c>
      <c r="M21" s="324"/>
      <c r="N21" s="325"/>
      <c r="O21" s="326"/>
      <c r="P21" s="327"/>
      <c r="Q21" s="66"/>
      <c r="R21" s="67"/>
      <c r="S21" s="41"/>
      <c r="T21" s="48"/>
      <c r="U21" s="48"/>
      <c r="V21" s="48"/>
      <c r="W21" s="48"/>
      <c r="X21" s="49"/>
      <c r="Y21" s="48"/>
      <c r="Z21" s="48"/>
    </row>
    <row r="22" spans="1:26" x14ac:dyDescent="0.2">
      <c r="A22" s="70"/>
      <c r="B22" s="71"/>
      <c r="C22" s="212"/>
      <c r="D22" s="212"/>
      <c r="E22" s="212"/>
      <c r="F22" s="212"/>
      <c r="G22" s="212"/>
      <c r="H22" s="212"/>
      <c r="I22" s="212"/>
      <c r="J22" s="212"/>
      <c r="K22" s="212"/>
      <c r="L22" s="212"/>
      <c r="M22" s="212"/>
      <c r="N22" s="212"/>
      <c r="O22" s="212"/>
      <c r="P22" s="213"/>
      <c r="Q22" s="66"/>
      <c r="R22" s="67"/>
      <c r="S22" s="38"/>
      <c r="T22" s="39"/>
      <c r="U22" s="39"/>
      <c r="V22" s="39"/>
      <c r="W22" s="39"/>
      <c r="X22" s="40"/>
      <c r="Y22" s="48"/>
      <c r="Z22" s="48"/>
    </row>
    <row r="23" spans="1:26" ht="51" x14ac:dyDescent="0.2">
      <c r="A23" s="317" t="s">
        <v>207</v>
      </c>
      <c r="B23" s="318"/>
      <c r="C23" s="319">
        <f>E17+E18</f>
        <v>0</v>
      </c>
      <c r="D23" s="344"/>
      <c r="E23" s="320"/>
      <c r="F23" s="319">
        <f>H17+H18</f>
        <v>0</v>
      </c>
      <c r="G23" s="344"/>
      <c r="H23" s="320"/>
      <c r="I23" s="319">
        <f>K17+K18</f>
        <v>0</v>
      </c>
      <c r="J23" s="344"/>
      <c r="K23" s="320"/>
      <c r="L23" s="319">
        <f>N17+N18</f>
        <v>0</v>
      </c>
      <c r="M23" s="344"/>
      <c r="N23" s="320"/>
      <c r="O23" s="319">
        <f>O19/3</f>
        <v>0</v>
      </c>
      <c r="P23" s="320"/>
      <c r="Q23" s="66"/>
      <c r="R23" s="48"/>
      <c r="S23" s="41" t="s">
        <v>103</v>
      </c>
      <c r="T23" s="48"/>
      <c r="U23" s="48" t="s">
        <v>209</v>
      </c>
      <c r="V23" s="48"/>
      <c r="W23" s="72" t="s">
        <v>193</v>
      </c>
      <c r="X23" s="49"/>
      <c r="Y23" s="48"/>
      <c r="Z23" s="48"/>
    </row>
    <row r="24" spans="1:26" x14ac:dyDescent="0.2">
      <c r="A24" s="48"/>
      <c r="B24" s="48"/>
      <c r="C24" s="48"/>
      <c r="D24" s="48"/>
      <c r="E24" s="48"/>
      <c r="F24" s="48"/>
      <c r="G24" s="48"/>
      <c r="H24" s="48"/>
      <c r="I24" s="60"/>
      <c r="J24" s="60"/>
      <c r="K24" s="60"/>
      <c r="L24" s="60"/>
      <c r="M24" s="60"/>
      <c r="N24" s="60"/>
      <c r="O24" s="60"/>
      <c r="P24" s="60"/>
      <c r="Q24" s="66"/>
      <c r="R24" s="48"/>
      <c r="S24" s="73" t="s">
        <v>98</v>
      </c>
      <c r="T24" s="47" t="s">
        <v>104</v>
      </c>
      <c r="U24" s="74" t="s">
        <v>105</v>
      </c>
      <c r="V24" s="74" t="s">
        <v>106</v>
      </c>
      <c r="W24" s="48"/>
      <c r="X24" s="49"/>
      <c r="Y24" s="48"/>
      <c r="Z24" s="48"/>
    </row>
    <row r="25" spans="1:26" x14ac:dyDescent="0.2">
      <c r="A25" s="48"/>
      <c r="B25" s="270" t="s">
        <v>107</v>
      </c>
      <c r="C25" s="81">
        <f>$S$18*C17</f>
        <v>22118.7588</v>
      </c>
      <c r="D25" s="81"/>
      <c r="E25" s="81">
        <f>E17*$S$29</f>
        <v>0</v>
      </c>
      <c r="F25" s="81">
        <f>$S$18*F17</f>
        <v>110593.79400000001</v>
      </c>
      <c r="G25" s="81"/>
      <c r="H25" s="81">
        <f>H17*$S$29</f>
        <v>0</v>
      </c>
      <c r="I25" s="81">
        <f>$S$18*I17</f>
        <v>221187.58800000002</v>
      </c>
      <c r="J25" s="81"/>
      <c r="K25" s="81">
        <f>K17*$S$29</f>
        <v>0</v>
      </c>
      <c r="L25" s="81">
        <f>$S$18*L17</f>
        <v>538223.13080000004</v>
      </c>
      <c r="M25" s="82"/>
      <c r="N25" s="81">
        <f>N17*$S$29</f>
        <v>0</v>
      </c>
      <c r="O25" s="81">
        <f>S18*O20</f>
        <v>0</v>
      </c>
      <c r="P25" s="82"/>
      <c r="Q25" s="66"/>
      <c r="R25" s="48"/>
      <c r="S25" s="75">
        <f>U25+(V25*W25)</f>
        <v>3537.69</v>
      </c>
      <c r="T25" s="74"/>
      <c r="U25" s="76">
        <v>1833</v>
      </c>
      <c r="V25" s="77">
        <f>U25*3</f>
        <v>5499</v>
      </c>
      <c r="W25" s="78">
        <v>0.31</v>
      </c>
      <c r="X25" s="49"/>
      <c r="Y25" s="48"/>
      <c r="Z25" s="48"/>
    </row>
    <row r="26" spans="1:26" ht="17" thickBot="1" x14ac:dyDescent="0.25">
      <c r="A26" s="48"/>
      <c r="B26" s="269" t="s">
        <v>108</v>
      </c>
      <c r="C26" s="83">
        <f>C18*$S$25</f>
        <v>0</v>
      </c>
      <c r="D26" s="83"/>
      <c r="E26" s="83"/>
      <c r="F26" s="83">
        <f>F18*$S$25</f>
        <v>0</v>
      </c>
      <c r="G26" s="83"/>
      <c r="H26" s="83"/>
      <c r="I26" s="83">
        <f>I18*$S$25</f>
        <v>63678.42</v>
      </c>
      <c r="J26" s="83"/>
      <c r="K26" s="83"/>
      <c r="L26" s="83">
        <f>L18*$S$25</f>
        <v>95517.63</v>
      </c>
      <c r="M26" s="84"/>
      <c r="N26" s="84"/>
      <c r="O26" s="83">
        <f>O18*$S$25</f>
        <v>0</v>
      </c>
      <c r="P26" s="84"/>
      <c r="Q26" s="60"/>
      <c r="R26" s="48"/>
      <c r="S26" s="50"/>
      <c r="T26" s="79"/>
      <c r="U26" s="80"/>
      <c r="V26" s="80">
        <f>U26*3</f>
        <v>0</v>
      </c>
      <c r="W26" s="68"/>
      <c r="X26" s="69"/>
      <c r="Y26" s="48"/>
      <c r="Z26" s="48"/>
    </row>
    <row r="27" spans="1:26" ht="51" x14ac:dyDescent="0.2">
      <c r="A27" s="48"/>
      <c r="B27" s="48"/>
      <c r="C27" s="85"/>
      <c r="D27" s="48"/>
      <c r="E27" s="48"/>
      <c r="F27" s="85"/>
      <c r="G27" s="48"/>
      <c r="H27" s="48"/>
      <c r="I27" s="86"/>
      <c r="J27" s="60"/>
      <c r="K27" s="60"/>
      <c r="L27" s="86"/>
      <c r="M27" s="60"/>
      <c r="N27" s="60"/>
      <c r="O27" s="60"/>
      <c r="P27" s="60"/>
      <c r="Q27" s="66"/>
      <c r="R27" s="48"/>
      <c r="S27" s="41" t="s">
        <v>192</v>
      </c>
      <c r="T27" s="48"/>
      <c r="U27" s="48" t="s">
        <v>212</v>
      </c>
      <c r="V27" s="48"/>
      <c r="W27" s="72" t="s">
        <v>193</v>
      </c>
      <c r="X27" s="49"/>
      <c r="Y27" s="48"/>
      <c r="Z27" s="48"/>
    </row>
    <row r="28" spans="1:26" ht="17" thickBot="1" x14ac:dyDescent="0.25">
      <c r="B28" s="34" t="s">
        <v>114</v>
      </c>
      <c r="C28" s="268">
        <f>C25+C26</f>
        <v>22118.7588</v>
      </c>
      <c r="D28" s="99"/>
      <c r="E28" s="99"/>
      <c r="F28" s="268">
        <f>F25+F26+H25</f>
        <v>110593.79400000001</v>
      </c>
      <c r="G28" s="99"/>
      <c r="H28" s="99"/>
      <c r="I28" s="268">
        <f>I25+I26+K25</f>
        <v>284866.00800000003</v>
      </c>
      <c r="J28" s="99"/>
      <c r="K28" s="99"/>
      <c r="L28" s="268">
        <f>L25+L26+N25</f>
        <v>633740.76080000005</v>
      </c>
      <c r="M28" s="99"/>
      <c r="N28" s="99"/>
      <c r="O28" s="99">
        <f t="shared" ref="O28" si="0">O25+O26</f>
        <v>0</v>
      </c>
      <c r="P28" s="99"/>
      <c r="Q28" s="42"/>
      <c r="R28" s="48"/>
      <c r="S28" s="73" t="s">
        <v>98</v>
      </c>
      <c r="T28" s="47" t="s">
        <v>104</v>
      </c>
      <c r="U28" s="74" t="s">
        <v>105</v>
      </c>
      <c r="V28" s="74" t="s">
        <v>106</v>
      </c>
      <c r="W28" s="48"/>
      <c r="X28" s="49"/>
      <c r="Y28" s="48"/>
      <c r="Z28" s="48"/>
    </row>
    <row r="29" spans="1:26" ht="17" thickTop="1" x14ac:dyDescent="0.2">
      <c r="Q29" s="48"/>
      <c r="R29" s="48"/>
      <c r="S29" s="75">
        <f>U29*(1+W29)</f>
        <v>3614.6208000000001</v>
      </c>
      <c r="T29" s="74"/>
      <c r="U29" s="76">
        <v>2086</v>
      </c>
      <c r="V29" s="77">
        <f>U29*3</f>
        <v>6258</v>
      </c>
      <c r="W29" s="266">
        <v>0.73280000000000001</v>
      </c>
      <c r="X29" s="49"/>
      <c r="Y29" s="48"/>
      <c r="Z29" s="48"/>
    </row>
    <row r="30" spans="1:26" ht="17" thickBot="1" x14ac:dyDescent="0.25">
      <c r="S30" s="50"/>
      <c r="T30" s="79"/>
      <c r="U30" s="80"/>
      <c r="V30" s="80">
        <f>U30*3</f>
        <v>0</v>
      </c>
      <c r="W30" s="68"/>
      <c r="X30" s="69"/>
      <c r="Y30" s="48"/>
      <c r="Z30" s="48"/>
    </row>
    <row r="31" spans="1:26" x14ac:dyDescent="0.2">
      <c r="S31" s="48"/>
      <c r="T31" s="48"/>
      <c r="U31" s="48"/>
      <c r="V31" s="48"/>
      <c r="W31" s="48"/>
      <c r="X31" s="48"/>
      <c r="Y31" s="48"/>
      <c r="Z31" s="48"/>
    </row>
    <row r="32" spans="1:26" ht="17" thickBot="1" x14ac:dyDescent="0.25">
      <c r="A32" s="102" t="s">
        <v>99</v>
      </c>
      <c r="B32" s="102" t="s">
        <v>195</v>
      </c>
    </row>
    <row r="33" spans="1:5" ht="18" thickTop="1" thickBot="1" x14ac:dyDescent="0.25">
      <c r="A33" s="122" t="s">
        <v>125</v>
      </c>
      <c r="B33" s="124">
        <f>117299+4105</f>
        <v>121404</v>
      </c>
    </row>
    <row r="34" spans="1:5" ht="17" thickBot="1" x14ac:dyDescent="0.25">
      <c r="A34" s="123" t="s">
        <v>126</v>
      </c>
      <c r="B34" s="124">
        <f>107306+5646</f>
        <v>112952</v>
      </c>
    </row>
    <row r="35" spans="1:5" ht="17" thickBot="1" x14ac:dyDescent="0.25">
      <c r="A35" s="123" t="s">
        <v>127</v>
      </c>
      <c r="B35" s="125">
        <f>70437+6151</f>
        <v>76588</v>
      </c>
    </row>
    <row r="36" spans="1:5" ht="17" thickBot="1" x14ac:dyDescent="0.25">
      <c r="A36" s="123" t="s">
        <v>128</v>
      </c>
      <c r="B36" s="125">
        <f>71437+5791</f>
        <v>77228</v>
      </c>
    </row>
    <row r="37" spans="1:5" ht="17" thickBot="1" x14ac:dyDescent="0.25">
      <c r="A37" s="123" t="s">
        <v>129</v>
      </c>
      <c r="B37" s="124">
        <f>98665+3453</f>
        <v>102118</v>
      </c>
    </row>
    <row r="39" spans="1:5" x14ac:dyDescent="0.2">
      <c r="A39" s="34" t="s">
        <v>130</v>
      </c>
      <c r="B39" s="126">
        <f>MEDIAN(B33:B37)</f>
        <v>102118</v>
      </c>
    </row>
    <row r="40" spans="1:5" x14ac:dyDescent="0.2">
      <c r="A40" s="34" t="s">
        <v>208</v>
      </c>
      <c r="B40" s="126">
        <f>B39*0.7328</f>
        <v>74832.070399999997</v>
      </c>
    </row>
    <row r="41" spans="1:5" x14ac:dyDescent="0.2">
      <c r="A41" s="102" t="s">
        <v>196</v>
      </c>
      <c r="B41" s="267">
        <f>B40+B39</f>
        <v>176950.0704</v>
      </c>
    </row>
    <row r="42" spans="1:5" ht="17" thickBot="1" x14ac:dyDescent="0.25">
      <c r="B42" s="127"/>
    </row>
    <row r="43" spans="1:5" x14ac:dyDescent="0.2">
      <c r="A43" s="142"/>
      <c r="B43" s="145">
        <v>1</v>
      </c>
      <c r="C43" s="145">
        <v>2</v>
      </c>
      <c r="D43" s="145">
        <v>3</v>
      </c>
      <c r="E43" s="146">
        <v>4</v>
      </c>
    </row>
    <row r="44" spans="1:5" ht="17" thickBot="1" x14ac:dyDescent="0.25">
      <c r="A44" s="50" t="s">
        <v>197</v>
      </c>
      <c r="B44" s="143">
        <f>B41/24</f>
        <v>7372.9196000000002</v>
      </c>
      <c r="C44" s="143">
        <f>C43*$B$44</f>
        <v>14745.8392</v>
      </c>
      <c r="D44" s="143">
        <f t="shared" ref="D44:E44" si="1">D43*$B$44</f>
        <v>22118.7588</v>
      </c>
      <c r="E44" s="144">
        <f t="shared" si="1"/>
        <v>29491.678400000001</v>
      </c>
    </row>
    <row r="45" spans="1:5" ht="17" thickBot="1" x14ac:dyDescent="0.25"/>
    <row r="46" spans="1:5" x14ac:dyDescent="0.2">
      <c r="A46" s="153" t="s">
        <v>134</v>
      </c>
      <c r="B46" s="154"/>
      <c r="C46" s="155" t="s">
        <v>135</v>
      </c>
      <c r="D46" s="155" t="s">
        <v>136</v>
      </c>
      <c r="E46" s="156" t="s">
        <v>137</v>
      </c>
    </row>
    <row r="47" spans="1:5" x14ac:dyDescent="0.2">
      <c r="A47" s="148" t="s">
        <v>133</v>
      </c>
      <c r="B47" s="61">
        <v>56791</v>
      </c>
      <c r="C47" s="42"/>
      <c r="D47" s="42"/>
      <c r="E47" s="43"/>
    </row>
    <row r="48" spans="1:5" x14ac:dyDescent="0.2">
      <c r="A48" s="41" t="s">
        <v>131</v>
      </c>
      <c r="B48" s="61">
        <f>B47*0.45</f>
        <v>25555.95</v>
      </c>
      <c r="C48" s="42"/>
      <c r="D48" s="42"/>
      <c r="E48" s="43"/>
    </row>
    <row r="49" spans="1:11" x14ac:dyDescent="0.2">
      <c r="A49" s="158" t="s">
        <v>199</v>
      </c>
      <c r="B49" s="157">
        <f>B48+B47</f>
        <v>82346.95</v>
      </c>
      <c r="C49" s="42"/>
      <c r="D49" s="42"/>
      <c r="E49" s="43"/>
    </row>
    <row r="50" spans="1:11" x14ac:dyDescent="0.2">
      <c r="A50" s="41" t="s">
        <v>198</v>
      </c>
      <c r="B50" s="78">
        <v>0.1</v>
      </c>
      <c r="C50" s="48"/>
      <c r="D50" s="48"/>
      <c r="E50" s="49"/>
    </row>
    <row r="51" spans="1:11" x14ac:dyDescent="0.2">
      <c r="A51" s="158" t="s">
        <v>200</v>
      </c>
      <c r="B51" s="157">
        <f>B49*$B$50</f>
        <v>8234.6949999999997</v>
      </c>
      <c r="C51" s="48"/>
      <c r="D51" s="48"/>
      <c r="E51" s="49"/>
    </row>
    <row r="52" spans="1:11" x14ac:dyDescent="0.2">
      <c r="A52" s="41" t="s">
        <v>201</v>
      </c>
      <c r="B52" s="149">
        <v>0.03</v>
      </c>
      <c r="C52" s="150"/>
      <c r="D52" s="150"/>
      <c r="E52" s="151"/>
    </row>
    <row r="53" spans="1:11" ht="17" thickBot="1" x14ac:dyDescent="0.25">
      <c r="A53" s="50"/>
      <c r="B53" s="152"/>
      <c r="C53" s="159">
        <f>B51</f>
        <v>8234.6949999999997</v>
      </c>
      <c r="D53" s="159">
        <f>C53+(C53*$B$52)</f>
        <v>8481.7358499999991</v>
      </c>
      <c r="E53" s="160">
        <f>D53+(D53*$B$52)</f>
        <v>8736.1879254999985</v>
      </c>
    </row>
    <row r="54" spans="1:11" ht="17" thickBot="1" x14ac:dyDescent="0.25">
      <c r="A54" s="48"/>
      <c r="B54" s="61"/>
      <c r="C54" s="345"/>
      <c r="D54" s="345"/>
      <c r="E54" s="345"/>
    </row>
    <row r="55" spans="1:11" x14ac:dyDescent="0.2">
      <c r="A55" s="153" t="s">
        <v>217</v>
      </c>
      <c r="B55" s="350"/>
      <c r="C55" s="351" t="s">
        <v>135</v>
      </c>
      <c r="D55" s="351" t="s">
        <v>136</v>
      </c>
      <c r="E55" s="352" t="s">
        <v>137</v>
      </c>
    </row>
    <row r="56" spans="1:11" x14ac:dyDescent="0.2">
      <c r="A56" s="41" t="s">
        <v>218</v>
      </c>
      <c r="B56" s="61"/>
      <c r="C56" s="345"/>
      <c r="D56" s="345">
        <f>B44</f>
        <v>7372.9196000000002</v>
      </c>
      <c r="E56" s="347"/>
    </row>
    <row r="57" spans="1:11" x14ac:dyDescent="0.2">
      <c r="A57" s="41" t="s">
        <v>219</v>
      </c>
      <c r="B57" s="61">
        <v>55000</v>
      </c>
      <c r="C57" s="345"/>
      <c r="D57" s="345"/>
      <c r="E57" s="347"/>
    </row>
    <row r="58" spans="1:11" x14ac:dyDescent="0.2">
      <c r="A58" s="348" t="s">
        <v>220</v>
      </c>
      <c r="B58" s="346">
        <f>B57*0.45</f>
        <v>24750</v>
      </c>
      <c r="C58" s="345"/>
      <c r="D58" s="345"/>
      <c r="E58" s="347"/>
    </row>
    <row r="59" spans="1:11" x14ac:dyDescent="0.2">
      <c r="A59" s="349" t="s">
        <v>221</v>
      </c>
      <c r="B59" s="61">
        <f>SUM(B57:B58)</f>
        <v>79750</v>
      </c>
      <c r="C59" s="345"/>
      <c r="D59" s="345"/>
      <c r="E59" s="347">
        <f>B59</f>
        <v>79750</v>
      </c>
    </row>
    <row r="60" spans="1:11" ht="17" thickBot="1" x14ac:dyDescent="0.25">
      <c r="A60" s="50"/>
      <c r="B60" s="152"/>
      <c r="C60" s="159">
        <f>SUM(C56:C59)</f>
        <v>0</v>
      </c>
      <c r="D60" s="159">
        <f t="shared" ref="D60:E60" si="2">SUM(D56:D59)</f>
        <v>7372.9196000000002</v>
      </c>
      <c r="E60" s="160">
        <f t="shared" si="2"/>
        <v>79750</v>
      </c>
      <c r="K60" s="128"/>
    </row>
    <row r="61" spans="1:11" ht="17" thickBot="1" x14ac:dyDescent="0.25">
      <c r="B61" s="128"/>
      <c r="C61" s="147"/>
      <c r="D61" s="147"/>
      <c r="E61" s="147"/>
      <c r="K61" s="128"/>
    </row>
    <row r="62" spans="1:11" x14ac:dyDescent="0.2">
      <c r="A62" s="169" t="s">
        <v>202</v>
      </c>
      <c r="B62" s="170" t="s">
        <v>135</v>
      </c>
      <c r="C62" s="170">
        <v>1</v>
      </c>
      <c r="D62" s="170">
        <v>2</v>
      </c>
      <c r="E62" s="170">
        <v>3</v>
      </c>
      <c r="F62" s="170">
        <v>4</v>
      </c>
      <c r="G62" s="170">
        <v>5</v>
      </c>
      <c r="H62" s="171">
        <v>6</v>
      </c>
      <c r="K62" s="128"/>
    </row>
    <row r="63" spans="1:11" x14ac:dyDescent="0.2">
      <c r="A63" s="41" t="s">
        <v>204</v>
      </c>
      <c r="B63" s="61">
        <v>2086</v>
      </c>
      <c r="C63" s="61">
        <f>$B$63*C62</f>
        <v>2086</v>
      </c>
      <c r="D63" s="61">
        <f t="shared" ref="D63" si="3">$B$63*D62</f>
        <v>4172</v>
      </c>
      <c r="E63" s="61">
        <f>$B$63*E62</f>
        <v>6258</v>
      </c>
      <c r="F63" s="61">
        <f>$B$63*F62</f>
        <v>8344</v>
      </c>
      <c r="G63" s="61">
        <f>$B$63*G62</f>
        <v>10430</v>
      </c>
      <c r="H63" s="167">
        <f>$B$63*H62</f>
        <v>12516</v>
      </c>
    </row>
    <row r="64" spans="1:11" x14ac:dyDescent="0.2">
      <c r="A64" s="41" t="s">
        <v>208</v>
      </c>
      <c r="B64" s="61">
        <f>B63*0.7328</f>
        <v>1528.6207999999999</v>
      </c>
      <c r="C64" s="61">
        <f>$B$64*C62</f>
        <v>1528.6207999999999</v>
      </c>
      <c r="D64" s="61">
        <f t="shared" ref="D64" si="4">$B$64*D62</f>
        <v>3057.2415999999998</v>
      </c>
      <c r="E64" s="61">
        <f>$B$64*E62</f>
        <v>4585.8624</v>
      </c>
      <c r="F64" s="61">
        <f>$B$64*F62</f>
        <v>6114.4831999999997</v>
      </c>
      <c r="G64" s="61">
        <f>$B$64*G62</f>
        <v>7643.1039999999994</v>
      </c>
      <c r="H64" s="167">
        <f>$B$64*H62</f>
        <v>9171.7248</v>
      </c>
    </row>
    <row r="65" spans="1:8" ht="17" thickBot="1" x14ac:dyDescent="0.25">
      <c r="A65" s="172" t="s">
        <v>132</v>
      </c>
      <c r="B65" s="152">
        <f>SUM(B63:B64)</f>
        <v>3614.6207999999997</v>
      </c>
      <c r="C65" s="152">
        <f>$B$65*C62</f>
        <v>3614.6207999999997</v>
      </c>
      <c r="D65" s="152">
        <f t="shared" ref="D65" si="5">$B$65*D62</f>
        <v>7229.2415999999994</v>
      </c>
      <c r="E65" s="152">
        <f>$B$65*E62</f>
        <v>10843.862399999998</v>
      </c>
      <c r="F65" s="152">
        <f>$B$65*F62</f>
        <v>14458.483199999999</v>
      </c>
      <c r="G65" s="152">
        <f>$B$65*G62</f>
        <v>18073.103999999999</v>
      </c>
      <c r="H65" s="168">
        <f>$B$65*H62</f>
        <v>21687.724799999996</v>
      </c>
    </row>
    <row r="66" spans="1:8" ht="17" thickBot="1" x14ac:dyDescent="0.25"/>
    <row r="67" spans="1:8" x14ac:dyDescent="0.2">
      <c r="A67" s="164" t="s">
        <v>203</v>
      </c>
      <c r="B67" s="165" t="s">
        <v>135</v>
      </c>
      <c r="C67" s="165" t="s">
        <v>136</v>
      </c>
      <c r="D67" s="166" t="s">
        <v>137</v>
      </c>
    </row>
    <row r="68" spans="1:8" ht="17" thickBot="1" x14ac:dyDescent="0.25">
      <c r="A68" s="161"/>
      <c r="B68" s="162">
        <v>12500</v>
      </c>
      <c r="C68" s="162">
        <v>10000</v>
      </c>
      <c r="D68" s="163">
        <v>7500</v>
      </c>
    </row>
  </sheetData>
  <mergeCells count="38">
    <mergeCell ref="O4:P4"/>
    <mergeCell ref="C4:E4"/>
    <mergeCell ref="F4:H4"/>
    <mergeCell ref="I4:K4"/>
    <mergeCell ref="L4:N4"/>
    <mergeCell ref="T1:U1"/>
    <mergeCell ref="V1:W1"/>
    <mergeCell ref="X1:Y1"/>
    <mergeCell ref="Z1:AA1"/>
    <mergeCell ref="AB1:AC1"/>
    <mergeCell ref="C18:D18"/>
    <mergeCell ref="F18:G18"/>
    <mergeCell ref="I18:J18"/>
    <mergeCell ref="L18:M18"/>
    <mergeCell ref="O18:P18"/>
    <mergeCell ref="C17:D17"/>
    <mergeCell ref="F17:G17"/>
    <mergeCell ref="I17:J17"/>
    <mergeCell ref="L17:M17"/>
    <mergeCell ref="O17:P17"/>
    <mergeCell ref="A20:B20"/>
    <mergeCell ref="O20:P20"/>
    <mergeCell ref="C20:E20"/>
    <mergeCell ref="F20:H20"/>
    <mergeCell ref="I20:K20"/>
    <mergeCell ref="L20:N20"/>
    <mergeCell ref="A23:B23"/>
    <mergeCell ref="O23:P23"/>
    <mergeCell ref="A21:B21"/>
    <mergeCell ref="C21:E21"/>
    <mergeCell ref="F21:H21"/>
    <mergeCell ref="I21:K21"/>
    <mergeCell ref="L21:N21"/>
    <mergeCell ref="O21:P21"/>
    <mergeCell ref="C23:E23"/>
    <mergeCell ref="F23:H23"/>
    <mergeCell ref="I23:K23"/>
    <mergeCell ref="L23:N23"/>
  </mergeCells>
  <pageMargins left="0.7" right="0.7" top="0.75" bottom="0.75" header="0.3" footer="0.3"/>
  <pageSetup paperSize="17" scale="45"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R111"/>
  <sheetViews>
    <sheetView topLeftCell="A67" zoomScaleNormal="100" workbookViewId="0">
      <selection activeCell="BR12" sqref="BR12"/>
    </sheetView>
  </sheetViews>
  <sheetFormatPr baseColWidth="10" defaultColWidth="9.1640625" defaultRowHeight="13" x14ac:dyDescent="0.15"/>
  <cols>
    <col min="1" max="1" width="27.6640625" style="2" bestFit="1" customWidth="1"/>
    <col min="2" max="2" width="1.1640625" style="2" customWidth="1"/>
    <col min="3" max="3" width="0" style="3" hidden="1" customWidth="1"/>
    <col min="4" max="4" width="1.83203125" style="3" hidden="1" customWidth="1"/>
    <col min="5" max="5" width="8" style="26" hidden="1" customWidth="1"/>
    <col min="6" max="6" width="0" style="3" hidden="1" customWidth="1"/>
    <col min="7" max="7" width="1.83203125" style="3" hidden="1" customWidth="1"/>
    <col min="8" max="8" width="8" style="26" hidden="1" customWidth="1"/>
    <col min="9" max="9" width="0" style="3" hidden="1" customWidth="1"/>
    <col min="10" max="10" width="1.83203125" style="3" hidden="1" customWidth="1"/>
    <col min="11" max="11" width="8" style="26" hidden="1" customWidth="1"/>
    <col min="12" max="12" width="0" style="3" hidden="1" customWidth="1"/>
    <col min="13" max="13" width="1.83203125" style="3" hidden="1" customWidth="1"/>
    <col min="14" max="14" width="8" style="26" hidden="1" customWidth="1"/>
    <col min="15" max="15" width="0" style="3" hidden="1" customWidth="1"/>
    <col min="16" max="16" width="1.83203125" style="3" hidden="1" customWidth="1"/>
    <col min="17" max="17" width="8" style="26" hidden="1" customWidth="1"/>
    <col min="18" max="18" width="0" style="3" hidden="1" customWidth="1"/>
    <col min="19" max="19" width="1.83203125" style="3" hidden="1" customWidth="1"/>
    <col min="20" max="20" width="8" style="26" hidden="1" customWidth="1"/>
    <col min="21" max="21" width="0" style="3" hidden="1" customWidth="1"/>
    <col min="22" max="22" width="1.83203125" style="3" hidden="1" customWidth="1"/>
    <col min="23" max="23" width="8" style="26" hidden="1" customWidth="1"/>
    <col min="24" max="24" width="0" style="3" hidden="1" customWidth="1"/>
    <col min="25" max="25" width="1.83203125" style="3" hidden="1" customWidth="1"/>
    <col min="26" max="26" width="8" style="26" hidden="1" customWidth="1"/>
    <col min="27" max="27" width="0" style="3" hidden="1" customWidth="1"/>
    <col min="28" max="28" width="1.83203125" style="3" hidden="1" customWidth="1"/>
    <col min="29" max="29" width="8" style="26" hidden="1" customWidth="1"/>
    <col min="30" max="30" width="0" style="3" hidden="1" customWidth="1"/>
    <col min="31" max="31" width="1.83203125" style="3" hidden="1" customWidth="1"/>
    <col min="32" max="32" width="8" style="26" hidden="1" customWidth="1"/>
    <col min="33" max="33" width="0" style="3" hidden="1" customWidth="1"/>
    <col min="34" max="34" width="1.83203125" style="3" hidden="1" customWidth="1"/>
    <col min="35" max="35" width="8" style="26" hidden="1" customWidth="1"/>
    <col min="36" max="36" width="0" style="3" hidden="1" customWidth="1"/>
    <col min="37" max="37" width="1.83203125" style="3" hidden="1" customWidth="1"/>
    <col min="38" max="38" width="8" style="26" hidden="1" customWidth="1"/>
    <col min="39" max="39" width="0" style="3" hidden="1" customWidth="1"/>
    <col min="40" max="40" width="1.83203125" style="3" hidden="1" customWidth="1"/>
    <col min="41" max="41" width="8" style="26" hidden="1" customWidth="1"/>
    <col min="42" max="42" width="0" style="3" hidden="1" customWidth="1"/>
    <col min="43" max="43" width="1.83203125" style="3" hidden="1" customWidth="1"/>
    <col min="44" max="44" width="8" style="26" hidden="1" customWidth="1"/>
    <col min="45" max="45" width="0" style="3" hidden="1" customWidth="1"/>
    <col min="46" max="46" width="1.83203125" style="3" hidden="1" customWidth="1"/>
    <col min="47" max="47" width="8" style="26" hidden="1" customWidth="1"/>
    <col min="48" max="48" width="0" style="3" hidden="1" customWidth="1"/>
    <col min="49" max="49" width="1.83203125" style="3" hidden="1" customWidth="1"/>
    <col min="50" max="50" width="8" style="26" hidden="1" customWidth="1"/>
    <col min="51" max="51" width="0" style="3" hidden="1" customWidth="1"/>
    <col min="52" max="52" width="2.1640625" style="3" hidden="1" customWidth="1"/>
    <col min="53" max="53" width="8" style="26" hidden="1" customWidth="1"/>
    <col min="54" max="54" width="0" style="3" hidden="1" customWidth="1"/>
    <col min="55" max="55" width="2.5" style="3" hidden="1" customWidth="1"/>
    <col min="56" max="56" width="8" style="26" customWidth="1"/>
    <col min="57" max="57" width="9.1640625" style="3"/>
    <col min="58" max="58" width="5" style="4" customWidth="1"/>
    <col min="59" max="59" width="2.5" style="3" customWidth="1"/>
    <col min="60" max="60" width="8" style="26" customWidth="1"/>
    <col min="61" max="61" width="9.1640625" style="3"/>
    <col min="62" max="62" width="5" style="2" customWidth="1"/>
    <col min="63" max="63" width="1.83203125" style="3" customWidth="1"/>
    <col min="64" max="64" width="8" style="26" customWidth="1"/>
    <col min="65" max="65" width="9.1640625" style="3"/>
    <col min="66" max="66" width="5" style="2" customWidth="1"/>
    <col min="67" max="67" width="0.83203125" style="5" customWidth="1"/>
    <col min="68" max="68" width="16" style="2" customWidth="1"/>
    <col min="69" max="70" width="13.6640625" style="2" bestFit="1" customWidth="1"/>
    <col min="71" max="16384" width="9.1640625" style="2"/>
  </cols>
  <sheetData>
    <row r="1" spans="1:70" x14ac:dyDescent="0.15">
      <c r="A1" s="1" t="s">
        <v>38</v>
      </c>
    </row>
    <row r="2" spans="1:70" x14ac:dyDescent="0.15">
      <c r="A2" s="1" t="s">
        <v>45</v>
      </c>
    </row>
    <row r="4" spans="1:70" s="1" customFormat="1" x14ac:dyDescent="0.15">
      <c r="C4" s="6" t="s">
        <v>0</v>
      </c>
      <c r="D4" s="6"/>
      <c r="E4" s="27" t="s">
        <v>40</v>
      </c>
      <c r="F4" s="6" t="s">
        <v>1</v>
      </c>
      <c r="G4" s="6"/>
      <c r="H4" s="27" t="s">
        <v>40</v>
      </c>
      <c r="I4" s="6" t="s">
        <v>2</v>
      </c>
      <c r="J4" s="6"/>
      <c r="K4" s="27" t="s">
        <v>40</v>
      </c>
      <c r="L4" s="6" t="s">
        <v>3</v>
      </c>
      <c r="M4" s="6"/>
      <c r="N4" s="27" t="s">
        <v>40</v>
      </c>
      <c r="O4" s="6" t="s">
        <v>4</v>
      </c>
      <c r="P4" s="6"/>
      <c r="Q4" s="27" t="s">
        <v>40</v>
      </c>
      <c r="R4" s="6" t="s">
        <v>5</v>
      </c>
      <c r="S4" s="6"/>
      <c r="T4" s="27" t="s">
        <v>40</v>
      </c>
      <c r="U4" s="6" t="s">
        <v>6</v>
      </c>
      <c r="V4" s="6"/>
      <c r="W4" s="27" t="s">
        <v>40</v>
      </c>
      <c r="X4" s="6" t="s">
        <v>7</v>
      </c>
      <c r="Y4" s="6"/>
      <c r="Z4" s="27" t="s">
        <v>40</v>
      </c>
      <c r="AA4" s="6" t="s">
        <v>8</v>
      </c>
      <c r="AB4" s="6"/>
      <c r="AC4" s="27" t="s">
        <v>40</v>
      </c>
      <c r="AD4" s="6" t="s">
        <v>9</v>
      </c>
      <c r="AE4" s="6"/>
      <c r="AF4" s="27" t="s">
        <v>40</v>
      </c>
      <c r="AG4" s="6" t="s">
        <v>10</v>
      </c>
      <c r="AH4" s="6"/>
      <c r="AI4" s="27" t="s">
        <v>40</v>
      </c>
      <c r="AJ4" s="6" t="s">
        <v>36</v>
      </c>
      <c r="AK4" s="6"/>
      <c r="AL4" s="27" t="s">
        <v>40</v>
      </c>
      <c r="AM4" s="6" t="s">
        <v>41</v>
      </c>
      <c r="AN4" s="6"/>
      <c r="AO4" s="27" t="s">
        <v>40</v>
      </c>
      <c r="AP4" s="6" t="s">
        <v>43</v>
      </c>
      <c r="AQ4" s="6"/>
      <c r="AR4" s="27" t="s">
        <v>40</v>
      </c>
      <c r="AS4" s="6" t="s">
        <v>46</v>
      </c>
      <c r="AT4" s="6"/>
      <c r="AU4" s="27" t="s">
        <v>40</v>
      </c>
      <c r="AV4" s="6" t="s">
        <v>48</v>
      </c>
      <c r="AW4" s="6"/>
      <c r="AX4" s="27" t="s">
        <v>40</v>
      </c>
      <c r="AY4" s="6" t="s">
        <v>50</v>
      </c>
      <c r="AZ4" s="6"/>
      <c r="BA4" s="27" t="s">
        <v>40</v>
      </c>
      <c r="BB4" s="6" t="s">
        <v>52</v>
      </c>
      <c r="BC4" s="6"/>
      <c r="BD4" s="27" t="s">
        <v>40</v>
      </c>
      <c r="BE4" s="6" t="s">
        <v>55</v>
      </c>
      <c r="BF4" s="7"/>
      <c r="BG4" s="6"/>
      <c r="BH4" s="27" t="s">
        <v>40</v>
      </c>
      <c r="BI4" s="6" t="s">
        <v>61</v>
      </c>
      <c r="BK4" s="6"/>
      <c r="BL4" s="27" t="s">
        <v>40</v>
      </c>
      <c r="BM4" s="6" t="s">
        <v>61</v>
      </c>
      <c r="BO4" s="8"/>
      <c r="BP4" s="9" t="s">
        <v>55</v>
      </c>
      <c r="BQ4" s="9" t="s">
        <v>61</v>
      </c>
      <c r="BR4" s="9" t="s">
        <v>122</v>
      </c>
    </row>
    <row r="5" spans="1:70" x14ac:dyDescent="0.15">
      <c r="C5" s="28" t="s">
        <v>25</v>
      </c>
      <c r="D5" s="28"/>
      <c r="E5" s="29"/>
      <c r="F5" s="28" t="s">
        <v>26</v>
      </c>
      <c r="G5" s="28"/>
      <c r="H5" s="29"/>
      <c r="I5" s="28" t="s">
        <v>27</v>
      </c>
      <c r="J5" s="28"/>
      <c r="K5" s="29"/>
      <c r="L5" s="28" t="s">
        <v>30</v>
      </c>
      <c r="M5" s="28"/>
      <c r="N5" s="29"/>
      <c r="O5" s="28" t="s">
        <v>29</v>
      </c>
      <c r="P5" s="28"/>
      <c r="Q5" s="29"/>
      <c r="R5" s="28" t="s">
        <v>31</v>
      </c>
      <c r="S5" s="28"/>
      <c r="T5" s="29"/>
      <c r="U5" s="28" t="s">
        <v>32</v>
      </c>
      <c r="V5" s="28"/>
      <c r="W5" s="29"/>
      <c r="X5" s="28" t="s">
        <v>33</v>
      </c>
      <c r="Y5" s="28"/>
      <c r="Z5" s="29"/>
      <c r="AA5" s="28" t="s">
        <v>34</v>
      </c>
      <c r="AB5" s="28"/>
      <c r="AC5" s="29"/>
      <c r="AD5" s="28" t="s">
        <v>34</v>
      </c>
      <c r="AE5" s="28"/>
      <c r="AF5" s="29"/>
      <c r="AG5" s="28" t="s">
        <v>35</v>
      </c>
      <c r="AH5" s="28"/>
      <c r="AI5" s="29"/>
      <c r="AJ5" s="28" t="s">
        <v>37</v>
      </c>
      <c r="AK5" s="28"/>
      <c r="AL5" s="29"/>
      <c r="AM5" s="28" t="s">
        <v>42</v>
      </c>
      <c r="AN5" s="28"/>
      <c r="AO5" s="29"/>
      <c r="AP5" s="30" t="s">
        <v>44</v>
      </c>
      <c r="AQ5" s="28"/>
      <c r="AR5" s="29"/>
      <c r="AS5" s="30" t="s">
        <v>44</v>
      </c>
      <c r="AT5" s="28"/>
      <c r="AU5" s="29"/>
      <c r="AV5" s="30" t="s">
        <v>44</v>
      </c>
      <c r="AW5" s="28"/>
      <c r="AX5" s="29"/>
      <c r="AY5" s="30" t="s">
        <v>44</v>
      </c>
      <c r="AZ5" s="28"/>
      <c r="BA5" s="29"/>
      <c r="BB5" s="30" t="s">
        <v>44</v>
      </c>
      <c r="BC5" s="28"/>
      <c r="BD5" s="29"/>
      <c r="BE5" s="30" t="s">
        <v>44</v>
      </c>
      <c r="BF5" s="23"/>
      <c r="BG5" s="28"/>
      <c r="BH5" s="29"/>
      <c r="BI5" s="30" t="s">
        <v>44</v>
      </c>
      <c r="BK5" s="30"/>
      <c r="BL5" s="29"/>
      <c r="BM5" s="30" t="s">
        <v>44</v>
      </c>
      <c r="BO5" s="31"/>
      <c r="BP5" s="10" t="s">
        <v>64</v>
      </c>
      <c r="BQ5" s="10" t="s">
        <v>64</v>
      </c>
      <c r="BR5" s="10" t="s">
        <v>64</v>
      </c>
    </row>
    <row r="6" spans="1:70" x14ac:dyDescent="0.15">
      <c r="C6" s="28"/>
      <c r="D6" s="28"/>
      <c r="E6" s="29"/>
      <c r="F6" s="28"/>
      <c r="G6" s="28"/>
      <c r="H6" s="29"/>
      <c r="I6" s="28"/>
      <c r="J6" s="28"/>
      <c r="K6" s="29"/>
      <c r="L6" s="28"/>
      <c r="M6" s="28"/>
      <c r="N6" s="29"/>
      <c r="O6" s="28"/>
      <c r="P6" s="28"/>
      <c r="Q6" s="29"/>
      <c r="R6" s="28"/>
      <c r="S6" s="28"/>
      <c r="T6" s="29"/>
      <c r="U6" s="28"/>
      <c r="V6" s="28"/>
      <c r="W6" s="29"/>
      <c r="X6" s="28"/>
      <c r="Y6" s="28"/>
      <c r="Z6" s="29"/>
      <c r="AA6" s="28"/>
      <c r="AB6" s="28"/>
      <c r="AC6" s="29"/>
      <c r="AD6" s="28"/>
      <c r="AE6" s="28"/>
      <c r="AF6" s="29"/>
      <c r="AG6" s="28"/>
      <c r="AH6" s="28"/>
      <c r="AI6" s="29"/>
      <c r="AJ6" s="28"/>
      <c r="AK6" s="28"/>
      <c r="AL6" s="29"/>
      <c r="AM6" s="28"/>
      <c r="AN6" s="28"/>
      <c r="AO6" s="29"/>
      <c r="AP6" s="28" t="s">
        <v>54</v>
      </c>
      <c r="AQ6" s="28"/>
      <c r="AR6" s="29"/>
      <c r="AS6" s="28" t="s">
        <v>47</v>
      </c>
      <c r="AT6" s="28"/>
      <c r="AU6" s="29"/>
      <c r="AV6" s="28" t="s">
        <v>49</v>
      </c>
      <c r="AW6" s="28"/>
      <c r="AX6" s="29"/>
      <c r="AY6" s="28" t="s">
        <v>51</v>
      </c>
      <c r="AZ6" s="28"/>
      <c r="BA6" s="29"/>
      <c r="BB6" s="28" t="s">
        <v>53</v>
      </c>
      <c r="BC6" s="28"/>
      <c r="BD6" s="29"/>
      <c r="BE6" s="28" t="s">
        <v>56</v>
      </c>
      <c r="BG6" s="28"/>
      <c r="BH6" s="29"/>
      <c r="BI6" s="28" t="s">
        <v>62</v>
      </c>
      <c r="BK6" s="28"/>
      <c r="BL6" s="29"/>
      <c r="BM6" s="28" t="s">
        <v>121</v>
      </c>
      <c r="BO6" s="31"/>
    </row>
    <row r="7" spans="1:70" x14ac:dyDescent="0.15">
      <c r="A7" s="11" t="s">
        <v>11</v>
      </c>
    </row>
    <row r="9" spans="1:70" x14ac:dyDescent="0.15">
      <c r="A9" s="12" t="s">
        <v>12</v>
      </c>
      <c r="BI9" s="13"/>
      <c r="BK9" s="13"/>
      <c r="BM9" s="13"/>
    </row>
    <row r="10" spans="1:70" x14ac:dyDescent="0.15">
      <c r="A10" s="2" t="s">
        <v>13</v>
      </c>
      <c r="C10" s="3">
        <v>2062</v>
      </c>
      <c r="E10" s="26">
        <f t="shared" ref="E10:E20" si="0">(F10/C10)-1</f>
        <v>3.8797284190106751E-2</v>
      </c>
      <c r="F10" s="3">
        <v>2142</v>
      </c>
      <c r="H10" s="26">
        <f>(I10/F10)-1</f>
        <v>3.9215686274509887E-2</v>
      </c>
      <c r="I10" s="3">
        <v>2226</v>
      </c>
      <c r="K10" s="26">
        <f>(L10/I10)-1</f>
        <v>3.908355795148255E-2</v>
      </c>
      <c r="L10" s="3">
        <v>2313</v>
      </c>
      <c r="N10" s="26">
        <f>(O10/L10)-1</f>
        <v>0.14483354950281013</v>
      </c>
      <c r="O10" s="3">
        <v>2648</v>
      </c>
      <c r="Q10" s="26">
        <f>(R10/O10)-1</f>
        <v>8.0815709969788596E-2</v>
      </c>
      <c r="R10" s="3">
        <v>2862</v>
      </c>
      <c r="T10" s="26">
        <f>(U10/R10)-1</f>
        <v>6.0097833682739354E-2</v>
      </c>
      <c r="U10" s="3">
        <v>3034</v>
      </c>
      <c r="W10" s="26">
        <f>(X10/U10)-1</f>
        <v>5.0428477257745463E-2</v>
      </c>
      <c r="X10" s="3">
        <v>3187</v>
      </c>
      <c r="Z10" s="26">
        <f>(AA10/X10)-1</f>
        <v>4.9890178851584643E-2</v>
      </c>
      <c r="AA10" s="3">
        <v>3346</v>
      </c>
      <c r="AC10" s="26">
        <f>(AD10/AA10)-1</f>
        <v>5.0209205020920411E-2</v>
      </c>
      <c r="AD10" s="3">
        <v>3514</v>
      </c>
      <c r="AF10" s="26">
        <f t="shared" ref="AF10:AF21" si="1">(AG10/AD10)-1</f>
        <v>6.4883323847467311E-2</v>
      </c>
      <c r="AG10" s="3">
        <v>3742</v>
      </c>
      <c r="AI10" s="26">
        <f>(AJ10/AG10)-1</f>
        <v>7.5093532870122992E-2</v>
      </c>
      <c r="AJ10" s="3">
        <v>4023</v>
      </c>
      <c r="AL10" s="26">
        <f>(AM10/AJ10)-1</f>
        <v>2.5105642555306895E-2</v>
      </c>
      <c r="AM10" s="3">
        <v>4124</v>
      </c>
      <c r="AO10" s="26">
        <f>(AP10/AM10)-1</f>
        <v>3.9039767216294763E-2</v>
      </c>
      <c r="AP10" s="3">
        <v>4285</v>
      </c>
      <c r="AR10" s="26">
        <f>(AS10/AP10)-1</f>
        <v>5.2508751458576475E-2</v>
      </c>
      <c r="AS10" s="3">
        <v>4510</v>
      </c>
      <c r="AU10" s="26">
        <f>(AV10/AS10)-1</f>
        <v>1.9955654101995624E-2</v>
      </c>
      <c r="AV10" s="3">
        <v>4600</v>
      </c>
      <c r="AX10" s="26">
        <f>(AY10/AV10)-1</f>
        <v>8.0000000000000071E-2</v>
      </c>
      <c r="AY10" s="3">
        <v>4968</v>
      </c>
      <c r="BA10" s="26">
        <f>(BB10/AY10)-1</f>
        <v>4.9919484702093397E-2</v>
      </c>
      <c r="BB10" s="3">
        <v>5216</v>
      </c>
      <c r="BD10" s="26">
        <f t="shared" ref="BD10:BD21" si="2">(BE10/BB10)-1</f>
        <v>3.9877300613496924E-2</v>
      </c>
      <c r="BE10" s="3">
        <v>5424</v>
      </c>
      <c r="BF10" s="4">
        <v>-1</v>
      </c>
      <c r="BH10" s="26">
        <f t="shared" ref="BH10:BH21" si="3">(BI10/BE10)-1</f>
        <v>4.019174041297946E-2</v>
      </c>
      <c r="BI10" s="3">
        <v>5642</v>
      </c>
      <c r="BJ10" s="4">
        <v>-1</v>
      </c>
      <c r="BL10" s="26">
        <f t="shared" ref="BL10:BL21" si="4">(BM10/BI10)-1</f>
        <v>4.9982275788727382E-2</v>
      </c>
      <c r="BM10" s="3">
        <v>5924</v>
      </c>
      <c r="BN10" s="4">
        <v>-1</v>
      </c>
      <c r="BP10" s="3">
        <f>BE10</f>
        <v>5424</v>
      </c>
      <c r="BQ10" s="3">
        <f>BI10</f>
        <v>5642</v>
      </c>
      <c r="BR10" s="3">
        <f>BM10</f>
        <v>5924</v>
      </c>
    </row>
    <row r="11" spans="1:70" x14ac:dyDescent="0.15">
      <c r="A11" s="2" t="s">
        <v>14</v>
      </c>
      <c r="C11" s="3">
        <v>637</v>
      </c>
      <c r="E11" s="26">
        <f t="shared" si="0"/>
        <v>3.4536891679748827E-2</v>
      </c>
      <c r="F11" s="3">
        <v>659</v>
      </c>
      <c r="H11" s="26">
        <f t="shared" ref="H11:H21" si="5">(I11/F11)-1</f>
        <v>3.4901365705614529E-2</v>
      </c>
      <c r="I11" s="3">
        <v>682</v>
      </c>
      <c r="K11" s="26">
        <f t="shared" ref="K11" si="6">(L11/I11)-1</f>
        <v>3.5190615835777095E-2</v>
      </c>
      <c r="L11" s="3">
        <v>706</v>
      </c>
      <c r="N11" s="26">
        <f t="shared" ref="N11" si="7">(O11/L11)-1</f>
        <v>3.6827195467422191E-2</v>
      </c>
      <c r="O11" s="3">
        <v>732</v>
      </c>
      <c r="Q11" s="26">
        <f t="shared" ref="Q11" si="8">(R11/O11)-1</f>
        <v>4.508196721311486E-2</v>
      </c>
      <c r="R11" s="3">
        <v>765</v>
      </c>
      <c r="T11" s="26">
        <f t="shared" ref="T11" si="9">(U11/R11)-1</f>
        <v>3.529411764705892E-2</v>
      </c>
      <c r="U11" s="3">
        <v>792</v>
      </c>
      <c r="W11" s="26">
        <f t="shared" ref="W11" si="10">(X11/U11)-1</f>
        <v>3.5353535353535248E-2</v>
      </c>
      <c r="X11" s="3">
        <v>820</v>
      </c>
      <c r="Z11" s="26">
        <f t="shared" ref="Z11" si="11">(AA11/X11)-1</f>
        <v>3.5365853658536617E-2</v>
      </c>
      <c r="AA11" s="3">
        <v>849</v>
      </c>
      <c r="AC11" s="26">
        <f t="shared" ref="AC11" si="12">(AD11/AA11)-1</f>
        <v>3.5335689045936425E-2</v>
      </c>
      <c r="AD11" s="3">
        <v>879</v>
      </c>
      <c r="AF11" s="26">
        <f t="shared" si="1"/>
        <v>3.5267349260523329E-2</v>
      </c>
      <c r="AG11" s="3">
        <v>910</v>
      </c>
      <c r="AI11" s="26">
        <f t="shared" ref="AI11" si="13">(AJ11/AG11)-1</f>
        <v>3.5164835164835262E-2</v>
      </c>
      <c r="AJ11" s="3">
        <v>942</v>
      </c>
      <c r="AL11" s="26">
        <f t="shared" ref="AL11:AL21" si="14">(AM11/AJ11)-1</f>
        <v>2.5477707006369421E-2</v>
      </c>
      <c r="AM11" s="3">
        <v>966</v>
      </c>
      <c r="AO11" s="26">
        <f t="shared" ref="AO11:AO21" si="15">(AP11/AM11)-1</f>
        <v>3.5196687370600444E-2</v>
      </c>
      <c r="AP11" s="3">
        <v>1000</v>
      </c>
      <c r="AR11" s="26">
        <f t="shared" ref="AR11:AR21" si="16">(AS11/AP11)-1</f>
        <v>3.0000000000000027E-2</v>
      </c>
      <c r="AS11" s="3">
        <v>1030</v>
      </c>
      <c r="AU11" s="26">
        <f t="shared" ref="AU11:AU21" si="17">(AV11/AS11)-1</f>
        <v>2.0388349514563142E-2</v>
      </c>
      <c r="AV11" s="3">
        <v>1051</v>
      </c>
      <c r="AX11" s="26">
        <f t="shared" ref="AX11:AX21" si="18">(AY11/AV11)-1</f>
        <v>-0.20076117982873454</v>
      </c>
      <c r="AY11" s="3">
        <v>840</v>
      </c>
      <c r="BA11" s="26">
        <f t="shared" ref="BA11:BA21" si="19">(BB11/AY11)-1</f>
        <v>2.9761904761904656E-2</v>
      </c>
      <c r="BB11" s="3">
        <v>865</v>
      </c>
      <c r="BD11" s="26">
        <f t="shared" si="2"/>
        <v>3.0057803468208188E-2</v>
      </c>
      <c r="BE11" s="3">
        <v>891</v>
      </c>
      <c r="BH11" s="26">
        <f t="shared" si="3"/>
        <v>3.0303030303030276E-2</v>
      </c>
      <c r="BI11" s="3">
        <v>918</v>
      </c>
      <c r="BL11" s="26">
        <f t="shared" si="4"/>
        <v>0</v>
      </c>
      <c r="BM11" s="3">
        <v>918</v>
      </c>
    </row>
    <row r="12" spans="1:70" x14ac:dyDescent="0.15">
      <c r="A12" s="2" t="s">
        <v>15</v>
      </c>
      <c r="C12" s="3">
        <f>850+125</f>
        <v>975</v>
      </c>
      <c r="E12" s="26">
        <f t="shared" si="0"/>
        <v>9.1282051282051357E-2</v>
      </c>
      <c r="F12" s="3">
        <f>939+125</f>
        <v>1064</v>
      </c>
      <c r="H12" s="26">
        <f t="shared" si="5"/>
        <v>0.25751879699248126</v>
      </c>
      <c r="I12" s="3">
        <f>1188+150</f>
        <v>1338</v>
      </c>
      <c r="K12" s="26">
        <f t="shared" ref="K12" si="20">(L12/I12)-1</f>
        <v>0.20328849028400597</v>
      </c>
      <c r="L12" s="3">
        <f>1410+200</f>
        <v>1610</v>
      </c>
      <c r="N12" s="26">
        <f t="shared" ref="N12" si="21">(O12/L12)-1</f>
        <v>0.15714285714285725</v>
      </c>
      <c r="O12" s="3">
        <f>1645+218</f>
        <v>1863</v>
      </c>
      <c r="Q12" s="26">
        <f t="shared" ref="Q12" si="22">(R12/O12)-1</f>
        <v>0.1460010735373054</v>
      </c>
      <c r="R12" s="3">
        <f>1917+218</f>
        <v>2135</v>
      </c>
      <c r="T12" s="26">
        <f t="shared" ref="T12" si="23">(U12/R12)-1</f>
        <v>2.9039812646370011E-2</v>
      </c>
      <c r="U12" s="3">
        <f>1974+223</f>
        <v>2197</v>
      </c>
      <c r="W12" s="26">
        <f t="shared" ref="W12" si="24">(X12/U12)-1</f>
        <v>4.4606281292671746E-2</v>
      </c>
      <c r="X12" s="3">
        <f>2072+223</f>
        <v>2295</v>
      </c>
      <c r="Z12" s="26">
        <f t="shared" ref="Z12" si="25">(AA12/X12)-1</f>
        <v>4.5315904139433538E-2</v>
      </c>
      <c r="AA12" s="3">
        <f>2176+223</f>
        <v>2399</v>
      </c>
      <c r="AC12" s="26">
        <f t="shared" ref="AC12" si="26">(AD12/AA12)-1</f>
        <v>4.5852438516048366E-2</v>
      </c>
      <c r="AD12" s="3">
        <f>2286+223</f>
        <v>2509</v>
      </c>
      <c r="AF12" s="26">
        <f t="shared" si="1"/>
        <v>4.5037863690713387E-2</v>
      </c>
      <c r="AG12" s="3">
        <v>2622</v>
      </c>
      <c r="AI12" s="26">
        <f t="shared" ref="AI12" si="27">(AJ12/AG12)-1</f>
        <v>5.1106025934401167E-2</v>
      </c>
      <c r="AJ12" s="3">
        <v>2756</v>
      </c>
      <c r="AL12" s="26">
        <f t="shared" si="14"/>
        <v>2.503628447024675E-2</v>
      </c>
      <c r="AM12" s="3">
        <v>2825</v>
      </c>
      <c r="AO12" s="26">
        <f t="shared" si="15"/>
        <v>2.5132743362831889E-2</v>
      </c>
      <c r="AP12" s="3">
        <v>2896</v>
      </c>
      <c r="AR12" s="26">
        <f t="shared" si="16"/>
        <v>4.4889502762430977E-2</v>
      </c>
      <c r="AS12" s="3">
        <v>3026</v>
      </c>
      <c r="AU12" s="26">
        <f t="shared" si="17"/>
        <v>1.9828155981493678E-2</v>
      </c>
      <c r="AV12" s="3">
        <v>3086</v>
      </c>
      <c r="AX12" s="26">
        <f t="shared" si="18"/>
        <v>8.6195722618276127E-2</v>
      </c>
      <c r="AY12" s="3">
        <v>3352</v>
      </c>
      <c r="BA12" s="26">
        <f t="shared" si="19"/>
        <v>5.0119331742243478E-2</v>
      </c>
      <c r="BB12" s="3">
        <v>3520</v>
      </c>
      <c r="BD12" s="26">
        <f t="shared" si="2"/>
        <v>4.2613636363636465E-2</v>
      </c>
      <c r="BE12" s="3">
        <v>3670</v>
      </c>
      <c r="BF12" s="4">
        <v>-2</v>
      </c>
      <c r="BH12" s="26">
        <f t="shared" si="3"/>
        <v>3.9782016348773874E-2</v>
      </c>
      <c r="BI12" s="3">
        <v>3816</v>
      </c>
      <c r="BJ12" s="4">
        <v>-3</v>
      </c>
      <c r="BL12" s="26">
        <f t="shared" si="4"/>
        <v>4.4549266247379427E-2</v>
      </c>
      <c r="BM12" s="3">
        <v>3986</v>
      </c>
      <c r="BN12" s="4">
        <v>-3</v>
      </c>
      <c r="BP12" s="3">
        <f>BE12-68-125-10-223</f>
        <v>3244</v>
      </c>
      <c r="BQ12" s="3">
        <f>BI12-68-125-10-223</f>
        <v>3390</v>
      </c>
      <c r="BR12" s="3">
        <f>BM12</f>
        <v>3986</v>
      </c>
    </row>
    <row r="13" spans="1:70" x14ac:dyDescent="0.15">
      <c r="A13" s="2" t="s">
        <v>16</v>
      </c>
      <c r="C13" s="3">
        <v>98</v>
      </c>
      <c r="E13" s="26">
        <f t="shared" si="0"/>
        <v>4.081632653061229E-2</v>
      </c>
      <c r="F13" s="3">
        <v>102</v>
      </c>
      <c r="H13" s="26">
        <f t="shared" si="5"/>
        <v>0.17647058823529416</v>
      </c>
      <c r="I13" s="3">
        <v>120</v>
      </c>
      <c r="K13" s="26">
        <f t="shared" ref="K13" si="28">(L13/I13)-1</f>
        <v>0</v>
      </c>
      <c r="L13" s="3">
        <v>120</v>
      </c>
      <c r="N13" s="26">
        <f t="shared" ref="N13" si="29">(O13/L13)-1</f>
        <v>0</v>
      </c>
      <c r="O13" s="3">
        <v>120</v>
      </c>
      <c r="Q13" s="26">
        <f t="shared" ref="Q13" si="30">(R13/O13)-1</f>
        <v>0</v>
      </c>
      <c r="R13" s="3">
        <v>120</v>
      </c>
      <c r="T13" s="26">
        <f t="shared" ref="T13" si="31">(U13/R13)-1</f>
        <v>0</v>
      </c>
      <c r="U13" s="3">
        <v>120</v>
      </c>
      <c r="W13" s="26">
        <f t="shared" ref="W13" si="32">(X13/U13)-1</f>
        <v>0</v>
      </c>
      <c r="X13" s="3">
        <v>120</v>
      </c>
      <c r="Z13" s="26">
        <f t="shared" ref="Z13" si="33">(AA13/X13)-1</f>
        <v>0</v>
      </c>
      <c r="AA13" s="3">
        <v>120</v>
      </c>
      <c r="AC13" s="26">
        <f t="shared" ref="AC13" si="34">(AD13/AA13)-1</f>
        <v>0</v>
      </c>
      <c r="AD13" s="3">
        <v>120</v>
      </c>
      <c r="AF13" s="26">
        <f t="shared" si="1"/>
        <v>0</v>
      </c>
      <c r="AG13" s="3">
        <v>120</v>
      </c>
      <c r="AI13" s="26">
        <f t="shared" ref="AI13" si="35">(AJ13/AG13)-1</f>
        <v>0</v>
      </c>
      <c r="AJ13" s="3">
        <v>120</v>
      </c>
      <c r="AL13" s="26">
        <f t="shared" si="14"/>
        <v>0</v>
      </c>
      <c r="AM13" s="3">
        <v>120</v>
      </c>
      <c r="AO13" s="26">
        <f t="shared" si="15"/>
        <v>0</v>
      </c>
      <c r="AP13" s="3">
        <v>120</v>
      </c>
      <c r="AR13" s="26">
        <f t="shared" si="16"/>
        <v>0</v>
      </c>
      <c r="AS13" s="3">
        <v>120</v>
      </c>
      <c r="AU13" s="26">
        <f t="shared" si="17"/>
        <v>0</v>
      </c>
      <c r="AV13" s="3">
        <v>120</v>
      </c>
      <c r="AX13" s="26">
        <f t="shared" si="18"/>
        <v>0</v>
      </c>
      <c r="AY13" s="3">
        <v>120</v>
      </c>
      <c r="BA13" s="26">
        <f t="shared" si="19"/>
        <v>0</v>
      </c>
      <c r="BB13" s="3">
        <v>120</v>
      </c>
      <c r="BD13" s="26">
        <f t="shared" si="2"/>
        <v>0.5</v>
      </c>
      <c r="BE13" s="3">
        <v>180</v>
      </c>
      <c r="BH13" s="26">
        <f t="shared" si="3"/>
        <v>0</v>
      </c>
      <c r="BI13" s="3">
        <v>180</v>
      </c>
      <c r="BL13" s="26">
        <f t="shared" si="4"/>
        <v>0</v>
      </c>
      <c r="BM13" s="3">
        <v>180</v>
      </c>
    </row>
    <row r="14" spans="1:70" x14ac:dyDescent="0.15">
      <c r="A14" s="2" t="s">
        <v>28</v>
      </c>
      <c r="E14" s="26" t="e">
        <f t="shared" si="0"/>
        <v>#DIV/0!</v>
      </c>
      <c r="H14" s="26" t="e">
        <f t="shared" si="5"/>
        <v>#DIV/0!</v>
      </c>
      <c r="K14" s="26" t="e">
        <f t="shared" ref="K14" si="36">(L14/I14)-1</f>
        <v>#DIV/0!</v>
      </c>
      <c r="L14" s="3">
        <v>20</v>
      </c>
      <c r="N14" s="26">
        <f t="shared" ref="N14" si="37">(O14/L14)-1</f>
        <v>0</v>
      </c>
      <c r="O14" s="3">
        <v>20</v>
      </c>
      <c r="Q14" s="26">
        <f t="shared" ref="Q14" si="38">(R14/O14)-1</f>
        <v>0</v>
      </c>
      <c r="R14" s="3">
        <v>20</v>
      </c>
      <c r="T14" s="26">
        <f t="shared" ref="T14" si="39">(U14/R14)-1</f>
        <v>0</v>
      </c>
      <c r="U14" s="3">
        <v>20</v>
      </c>
      <c r="W14" s="26">
        <f t="shared" ref="W14" si="40">(X14/U14)-1</f>
        <v>0</v>
      </c>
      <c r="X14" s="3">
        <v>20</v>
      </c>
      <c r="Z14" s="26">
        <f t="shared" ref="Z14" si="41">(AA14/X14)-1</f>
        <v>0</v>
      </c>
      <c r="AA14" s="3">
        <v>20</v>
      </c>
      <c r="AC14" s="26">
        <f t="shared" ref="AC14" si="42">(AD14/AA14)-1</f>
        <v>0</v>
      </c>
      <c r="AD14" s="3">
        <v>20</v>
      </c>
      <c r="AF14" s="26">
        <f t="shared" si="1"/>
        <v>0</v>
      </c>
      <c r="AG14" s="3">
        <v>20</v>
      </c>
      <c r="AI14" s="26">
        <f t="shared" ref="AI14" si="43">(AJ14/AG14)-1</f>
        <v>0</v>
      </c>
      <c r="AJ14" s="3">
        <v>20</v>
      </c>
      <c r="AL14" s="26">
        <f t="shared" si="14"/>
        <v>0</v>
      </c>
      <c r="AM14" s="3">
        <v>20</v>
      </c>
      <c r="AO14" s="26">
        <f t="shared" si="15"/>
        <v>0</v>
      </c>
      <c r="AP14" s="3">
        <v>20</v>
      </c>
      <c r="AR14" s="26">
        <f t="shared" si="16"/>
        <v>0</v>
      </c>
      <c r="AS14" s="3">
        <v>20</v>
      </c>
      <c r="AU14" s="26">
        <f t="shared" si="17"/>
        <v>0</v>
      </c>
      <c r="AV14" s="3">
        <v>20</v>
      </c>
      <c r="AX14" s="26">
        <f t="shared" si="18"/>
        <v>0</v>
      </c>
      <c r="AY14" s="3">
        <v>20</v>
      </c>
      <c r="BA14" s="26">
        <f t="shared" si="19"/>
        <v>0</v>
      </c>
      <c r="BB14" s="3">
        <v>20</v>
      </c>
      <c r="BD14" s="26">
        <f t="shared" si="2"/>
        <v>0</v>
      </c>
      <c r="BE14" s="3">
        <v>20</v>
      </c>
      <c r="BH14" s="26">
        <f t="shared" si="3"/>
        <v>0</v>
      </c>
      <c r="BI14" s="3">
        <v>20</v>
      </c>
      <c r="BL14" s="26">
        <f t="shared" si="4"/>
        <v>0</v>
      </c>
      <c r="BM14" s="3">
        <v>20</v>
      </c>
      <c r="BQ14" s="14"/>
      <c r="BR14" s="14"/>
    </row>
    <row r="15" spans="1:70" x14ac:dyDescent="0.15">
      <c r="A15" s="2" t="s">
        <v>57</v>
      </c>
      <c r="C15" s="15">
        <f t="shared" ref="C15:AJ15" si="44">SUM(C10:C14)</f>
        <v>3772</v>
      </c>
      <c r="D15" s="16"/>
      <c r="E15" s="26">
        <f t="shared" si="0"/>
        <v>5.16967126193002E-2</v>
      </c>
      <c r="F15" s="15">
        <f t="shared" si="44"/>
        <v>3967</v>
      </c>
      <c r="G15" s="16"/>
      <c r="H15" s="26">
        <f t="shared" si="5"/>
        <v>0.10057978321149474</v>
      </c>
      <c r="I15" s="15">
        <f t="shared" si="44"/>
        <v>4366</v>
      </c>
      <c r="J15" s="16"/>
      <c r="K15" s="26">
        <f t="shared" ref="K15:K16" si="45">(L15/I15)-1</f>
        <v>9.230416857535495E-2</v>
      </c>
      <c r="L15" s="15">
        <f t="shared" si="44"/>
        <v>4769</v>
      </c>
      <c r="M15" s="16"/>
      <c r="N15" s="26">
        <f t="shared" ref="N15:N16" si="46">(O15/L15)-1</f>
        <v>0.12874816523380161</v>
      </c>
      <c r="O15" s="15">
        <f t="shared" si="44"/>
        <v>5383</v>
      </c>
      <c r="P15" s="16"/>
      <c r="Q15" s="26">
        <f t="shared" ref="Q15:Q16" si="47">(R15/O15)-1</f>
        <v>9.6414638677317477E-2</v>
      </c>
      <c r="R15" s="15">
        <f t="shared" si="44"/>
        <v>5902</v>
      </c>
      <c r="S15" s="16"/>
      <c r="T15" s="26">
        <f t="shared" ref="T15:T16" si="48">(U15/R15)-1</f>
        <v>4.4222297526262278E-2</v>
      </c>
      <c r="U15" s="15">
        <f t="shared" si="44"/>
        <v>6163</v>
      </c>
      <c r="V15" s="16"/>
      <c r="W15" s="26">
        <f t="shared" ref="W15:W16" si="49">(X15/U15)-1</f>
        <v>4.5270160636053935E-2</v>
      </c>
      <c r="X15" s="15">
        <f t="shared" si="44"/>
        <v>6442</v>
      </c>
      <c r="Y15" s="16"/>
      <c r="Z15" s="26">
        <f t="shared" ref="Z15:Z16" si="50">(AA15/X15)-1</f>
        <v>4.5327538031667114E-2</v>
      </c>
      <c r="AA15" s="15">
        <f t="shared" si="44"/>
        <v>6734</v>
      </c>
      <c r="AB15" s="16"/>
      <c r="AC15" s="26">
        <f t="shared" ref="AC15:AC16" si="51">(AD15/AA15)-1</f>
        <v>4.573804573804563E-2</v>
      </c>
      <c r="AD15" s="15">
        <f t="shared" si="44"/>
        <v>7042</v>
      </c>
      <c r="AE15" s="16"/>
      <c r="AF15" s="26">
        <f t="shared" si="1"/>
        <v>5.2825901732462377E-2</v>
      </c>
      <c r="AG15" s="15">
        <f t="shared" si="44"/>
        <v>7414</v>
      </c>
      <c r="AH15" s="16"/>
      <c r="AI15" s="26">
        <f t="shared" ref="AI15:AI16" si="52">(AJ15/AG15)-1</f>
        <v>6.0291340706770891E-2</v>
      </c>
      <c r="AJ15" s="15">
        <f t="shared" si="44"/>
        <v>7861</v>
      </c>
      <c r="AK15" s="16"/>
      <c r="AL15" s="26">
        <f t="shared" si="14"/>
        <v>2.4678794046558927E-2</v>
      </c>
      <c r="AM15" s="15">
        <f t="shared" ref="AM15" si="53">SUM(AM10:AM14)</f>
        <v>8055</v>
      </c>
      <c r="AN15" s="16"/>
      <c r="AO15" s="26">
        <f t="shared" si="15"/>
        <v>3.3022967101179468E-2</v>
      </c>
      <c r="AP15" s="15">
        <f t="shared" ref="AP15" si="54">SUM(AP10:AP14)</f>
        <v>8321</v>
      </c>
      <c r="AQ15" s="16"/>
      <c r="AR15" s="26">
        <f t="shared" si="16"/>
        <v>4.6268477346472769E-2</v>
      </c>
      <c r="AS15" s="17">
        <f t="shared" ref="AS15" si="55">SUM(AS10:AS14)</f>
        <v>8706</v>
      </c>
      <c r="AT15" s="16"/>
      <c r="AU15" s="26">
        <f t="shared" si="17"/>
        <v>1.9641626464507178E-2</v>
      </c>
      <c r="AV15" s="17">
        <f t="shared" ref="AV15" si="56">SUM(AV10:AV14)</f>
        <v>8877</v>
      </c>
      <c r="AW15" s="16"/>
      <c r="AX15" s="26">
        <f t="shared" si="18"/>
        <v>4.7651233524839576E-2</v>
      </c>
      <c r="AY15" s="17">
        <f t="shared" ref="AY15" si="57">SUM(AY10:AY14)</f>
        <v>9300</v>
      </c>
      <c r="AZ15" s="16"/>
      <c r="BA15" s="26">
        <f t="shared" si="19"/>
        <v>4.7419354838709626E-2</v>
      </c>
      <c r="BB15" s="17">
        <f t="shared" ref="BB15" si="58">SUM(BB10:BB14)</f>
        <v>9741</v>
      </c>
      <c r="BC15" s="16"/>
      <c r="BD15" s="26">
        <f t="shared" si="2"/>
        <v>4.5580535879273132E-2</v>
      </c>
      <c r="BE15" s="17">
        <f t="shared" ref="BE15" si="59">SUM(BE10:BE14)</f>
        <v>10185</v>
      </c>
      <c r="BF15" s="18"/>
      <c r="BG15" s="16"/>
      <c r="BH15" s="26">
        <f t="shared" si="3"/>
        <v>3.8389788905252908E-2</v>
      </c>
      <c r="BI15" s="17">
        <f t="shared" ref="BI15" si="60">SUM(BI10:BI14)</f>
        <v>10576</v>
      </c>
      <c r="BK15" s="118"/>
      <c r="BL15" s="26">
        <f t="shared" si="4"/>
        <v>4.2738275340393317E-2</v>
      </c>
      <c r="BM15" s="17">
        <f t="shared" ref="BM15" si="61">SUM(BM10:BM14)</f>
        <v>11028</v>
      </c>
      <c r="BO15" s="19"/>
    </row>
    <row r="16" spans="1:70" x14ac:dyDescent="0.15">
      <c r="A16" s="2" t="s">
        <v>58</v>
      </c>
      <c r="E16" s="26" t="e">
        <f t="shared" ref="E16" si="62">(F16/C16)-1</f>
        <v>#DIV/0!</v>
      </c>
      <c r="H16" s="26" t="e">
        <f t="shared" ref="H16:H17" si="63">(I16/F16)-1</f>
        <v>#DIV/0!</v>
      </c>
      <c r="K16" s="26" t="e">
        <f t="shared" si="45"/>
        <v>#DIV/0!</v>
      </c>
      <c r="N16" s="26" t="e">
        <f t="shared" si="46"/>
        <v>#DIV/0!</v>
      </c>
      <c r="Q16" s="26" t="e">
        <f t="shared" si="47"/>
        <v>#DIV/0!</v>
      </c>
      <c r="T16" s="26" t="e">
        <f t="shared" si="48"/>
        <v>#DIV/0!</v>
      </c>
      <c r="W16" s="26" t="e">
        <f t="shared" si="49"/>
        <v>#DIV/0!</v>
      </c>
      <c r="Z16" s="26" t="e">
        <f t="shared" si="50"/>
        <v>#DIV/0!</v>
      </c>
      <c r="AC16" s="26" t="e">
        <f t="shared" si="51"/>
        <v>#DIV/0!</v>
      </c>
      <c r="AF16" s="26" t="e">
        <f t="shared" ref="AF16:AF17" si="64">(AG16/AD16)-1</f>
        <v>#DIV/0!</v>
      </c>
      <c r="AI16" s="26" t="e">
        <f t="shared" si="52"/>
        <v>#DIV/0!</v>
      </c>
      <c r="AL16" s="26" t="e">
        <f t="shared" ref="AL16:AL17" si="65">(AM16/AJ16)-1</f>
        <v>#DIV/0!</v>
      </c>
      <c r="AO16" s="26" t="e">
        <f t="shared" ref="AO16:AO17" si="66">(AP16/AM16)-1</f>
        <v>#DIV/0!</v>
      </c>
      <c r="AR16" s="26" t="e">
        <f t="shared" ref="AR16:AR17" si="67">(AS16/AP16)-1</f>
        <v>#DIV/0!</v>
      </c>
      <c r="AU16" s="26" t="e">
        <f t="shared" ref="AU16:AU17" si="68">(AV16/AS16)-1</f>
        <v>#DIV/0!</v>
      </c>
      <c r="AX16" s="26" t="e">
        <f t="shared" ref="AX16:AX17" si="69">(AY16/AV16)-1</f>
        <v>#DIV/0!</v>
      </c>
      <c r="BA16" s="26" t="e">
        <f t="shared" ref="BA16:BA17" si="70">(BB16/AY16)-1</f>
        <v>#DIV/0!</v>
      </c>
      <c r="BD16" s="26" t="e">
        <f t="shared" si="2"/>
        <v>#DIV/0!</v>
      </c>
      <c r="BE16" s="3">
        <v>40</v>
      </c>
      <c r="BH16" s="26">
        <f t="shared" si="3"/>
        <v>0</v>
      </c>
      <c r="BI16" s="3">
        <v>40</v>
      </c>
      <c r="BL16" s="26">
        <f t="shared" si="4"/>
        <v>0</v>
      </c>
      <c r="BM16" s="3">
        <v>40</v>
      </c>
    </row>
    <row r="17" spans="1:70" x14ac:dyDescent="0.15">
      <c r="A17" s="2" t="s">
        <v>17</v>
      </c>
      <c r="C17" s="15">
        <f>C15+C16</f>
        <v>3772</v>
      </c>
      <c r="D17" s="16"/>
      <c r="E17" s="26">
        <f>(F17/C17)-1</f>
        <v>5.16967126193002E-2</v>
      </c>
      <c r="F17" s="15">
        <f>F15+F16</f>
        <v>3967</v>
      </c>
      <c r="G17" s="16"/>
      <c r="H17" s="26">
        <f t="shared" si="63"/>
        <v>0.10057978321149474</v>
      </c>
      <c r="I17" s="15">
        <f>I15+I16</f>
        <v>4366</v>
      </c>
      <c r="J17" s="16"/>
      <c r="K17" s="26">
        <f t="shared" ref="K17" si="71">(L17/I17)-1</f>
        <v>9.230416857535495E-2</v>
      </c>
      <c r="L17" s="15">
        <f>L15+L16</f>
        <v>4769</v>
      </c>
      <c r="M17" s="16"/>
      <c r="N17" s="26">
        <f t="shared" ref="N17" si="72">(O17/L17)-1</f>
        <v>0.12874816523380161</v>
      </c>
      <c r="O17" s="15">
        <f>O15+O16</f>
        <v>5383</v>
      </c>
      <c r="P17" s="16"/>
      <c r="Q17" s="26">
        <f t="shared" ref="Q17" si="73">(R17/O17)-1</f>
        <v>9.6414638677317477E-2</v>
      </c>
      <c r="R17" s="15">
        <f>R15+R16</f>
        <v>5902</v>
      </c>
      <c r="S17" s="16"/>
      <c r="T17" s="26">
        <f t="shared" ref="T17" si="74">(U17/R17)-1</f>
        <v>4.4222297526262278E-2</v>
      </c>
      <c r="U17" s="15">
        <f>U15+U16</f>
        <v>6163</v>
      </c>
      <c r="V17" s="16"/>
      <c r="W17" s="26">
        <f t="shared" ref="W17" si="75">(X17/U17)-1</f>
        <v>4.5270160636053935E-2</v>
      </c>
      <c r="X17" s="15">
        <f>X15+X16</f>
        <v>6442</v>
      </c>
      <c r="Y17" s="16"/>
      <c r="Z17" s="26">
        <f t="shared" ref="Z17" si="76">(AA17/X17)-1</f>
        <v>4.5327538031667114E-2</v>
      </c>
      <c r="AA17" s="15">
        <f>AA15+AA16</f>
        <v>6734</v>
      </c>
      <c r="AB17" s="16"/>
      <c r="AC17" s="26">
        <f t="shared" ref="AC17" si="77">(AD17/AA17)-1</f>
        <v>4.573804573804563E-2</v>
      </c>
      <c r="AD17" s="15">
        <f>AD15+AD16</f>
        <v>7042</v>
      </c>
      <c r="AE17" s="16"/>
      <c r="AF17" s="26">
        <f t="shared" si="64"/>
        <v>5.2825901732462377E-2</v>
      </c>
      <c r="AG17" s="15">
        <f>AG15+AG16</f>
        <v>7414</v>
      </c>
      <c r="AH17" s="16"/>
      <c r="AI17" s="26">
        <f t="shared" ref="AI17" si="78">(AJ17/AG17)-1</f>
        <v>6.0291340706770891E-2</v>
      </c>
      <c r="AJ17" s="15">
        <f>AJ15+AJ16</f>
        <v>7861</v>
      </c>
      <c r="AK17" s="16"/>
      <c r="AL17" s="26">
        <f t="shared" si="65"/>
        <v>2.4678794046558927E-2</v>
      </c>
      <c r="AM17" s="15">
        <f>AM15+AM16</f>
        <v>8055</v>
      </c>
      <c r="AN17" s="16"/>
      <c r="AO17" s="26">
        <f t="shared" si="66"/>
        <v>3.3022967101179468E-2</v>
      </c>
      <c r="AP17" s="15">
        <f>AP15+AP16</f>
        <v>8321</v>
      </c>
      <c r="AQ17" s="16"/>
      <c r="AR17" s="26">
        <f t="shared" si="67"/>
        <v>4.6268477346472769E-2</v>
      </c>
      <c r="AS17" s="15">
        <f>AS15+AS16</f>
        <v>8706</v>
      </c>
      <c r="AT17" s="16"/>
      <c r="AU17" s="26">
        <f t="shared" si="68"/>
        <v>1.9641626464507178E-2</v>
      </c>
      <c r="AV17" s="15">
        <f>AV15+AV16</f>
        <v>8877</v>
      </c>
      <c r="AW17" s="16"/>
      <c r="AX17" s="26">
        <f t="shared" si="69"/>
        <v>4.7651233524839576E-2</v>
      </c>
      <c r="AY17" s="15">
        <f>AY15+AY16</f>
        <v>9300</v>
      </c>
      <c r="AZ17" s="16"/>
      <c r="BA17" s="26">
        <f t="shared" si="70"/>
        <v>4.7419354838709626E-2</v>
      </c>
      <c r="BB17" s="15">
        <f>BB15+BB16</f>
        <v>9741</v>
      </c>
      <c r="BC17" s="16"/>
      <c r="BD17" s="26">
        <f t="shared" si="2"/>
        <v>4.9686890462991462E-2</v>
      </c>
      <c r="BE17" s="15">
        <f>BE15+BE16</f>
        <v>10225</v>
      </c>
      <c r="BF17" s="20"/>
      <c r="BG17" s="16"/>
      <c r="BH17" s="26">
        <f t="shared" si="3"/>
        <v>3.8239608801956093E-2</v>
      </c>
      <c r="BI17" s="15">
        <f>BI15+BI16</f>
        <v>10616</v>
      </c>
      <c r="BK17" s="16"/>
      <c r="BL17" s="26">
        <f t="shared" si="4"/>
        <v>4.2577241899020457E-2</v>
      </c>
      <c r="BM17" s="15">
        <f>BM15+BM16</f>
        <v>11068</v>
      </c>
      <c r="BO17" s="19"/>
    </row>
    <row r="18" spans="1:70" x14ac:dyDescent="0.15">
      <c r="A18" s="2" t="s">
        <v>19</v>
      </c>
      <c r="C18" s="3">
        <v>3214</v>
      </c>
      <c r="E18" s="26">
        <f t="shared" si="0"/>
        <v>3.6714374611076517E-2</v>
      </c>
      <c r="F18" s="3">
        <v>3332</v>
      </c>
      <c r="H18" s="26">
        <f t="shared" si="5"/>
        <v>4.021608643457375E-2</v>
      </c>
      <c r="I18" s="3">
        <v>3466</v>
      </c>
      <c r="K18" s="26">
        <f t="shared" ref="K18" si="79">(L18/I18)-1</f>
        <v>4.0392383150605893E-2</v>
      </c>
      <c r="L18" s="3">
        <v>3606</v>
      </c>
      <c r="N18" s="26">
        <f t="shared" ref="N18" si="80">(O18/L18)-1</f>
        <v>4.991680532445919E-2</v>
      </c>
      <c r="O18" s="3">
        <v>3786</v>
      </c>
      <c r="Q18" s="26">
        <f t="shared" ref="Q18" si="81">(R18/O18)-1</f>
        <v>4.8071843634442724E-2</v>
      </c>
      <c r="R18" s="3">
        <v>3968</v>
      </c>
      <c r="T18" s="26">
        <f t="shared" ref="T18" si="82">(U18/R18)-1</f>
        <v>5.9979838709677491E-2</v>
      </c>
      <c r="U18" s="3">
        <v>4206</v>
      </c>
      <c r="W18" s="26">
        <f t="shared" ref="W18" si="83">(X18/U18)-1</f>
        <v>5.7536852116024662E-2</v>
      </c>
      <c r="X18" s="3">
        <v>4448</v>
      </c>
      <c r="Z18" s="26">
        <f t="shared" ref="Z18" si="84">(AA18/X18)-1</f>
        <v>5.755395683453246E-2</v>
      </c>
      <c r="AA18" s="3">
        <v>4704</v>
      </c>
      <c r="AC18" s="26">
        <f t="shared" ref="AC18" si="85">(AD18/AA18)-1</f>
        <v>5.7823129251700633E-2</v>
      </c>
      <c r="AD18" s="3">
        <v>4976</v>
      </c>
      <c r="AF18" s="26">
        <f t="shared" si="1"/>
        <v>5.7877813504823239E-2</v>
      </c>
      <c r="AG18" s="3">
        <v>5264</v>
      </c>
      <c r="AI18" s="26">
        <f t="shared" ref="AI18" si="86">(AJ18/AG18)-1</f>
        <v>5.0151975683890626E-2</v>
      </c>
      <c r="AJ18" s="3">
        <v>5528</v>
      </c>
      <c r="AL18" s="26">
        <f t="shared" si="14"/>
        <v>2.4963820549927629E-2</v>
      </c>
      <c r="AM18" s="3">
        <v>5666</v>
      </c>
      <c r="AO18" s="26">
        <f t="shared" si="15"/>
        <v>2.4708789269325848E-2</v>
      </c>
      <c r="AP18" s="3">
        <v>5806</v>
      </c>
      <c r="AR18" s="26">
        <f t="shared" si="16"/>
        <v>4.4781260764726216E-2</v>
      </c>
      <c r="AS18" s="3">
        <v>6066</v>
      </c>
      <c r="AU18" s="26">
        <f t="shared" si="17"/>
        <v>3.4948895483020159E-2</v>
      </c>
      <c r="AV18" s="3">
        <v>6278</v>
      </c>
      <c r="AX18" s="26">
        <f t="shared" si="18"/>
        <v>2.007008601465432E-2</v>
      </c>
      <c r="AY18" s="3">
        <v>6404</v>
      </c>
      <c r="BA18" s="26">
        <f t="shared" si="19"/>
        <v>2.9356652092442204E-2</v>
      </c>
      <c r="BB18" s="3">
        <v>6592</v>
      </c>
      <c r="BD18" s="26">
        <f t="shared" si="2"/>
        <v>2.7912621359223344E-2</v>
      </c>
      <c r="BE18" s="3">
        <v>6776</v>
      </c>
      <c r="BH18" s="26">
        <f t="shared" si="3"/>
        <v>2.7302243211334121E-2</v>
      </c>
      <c r="BI18" s="3">
        <v>6961</v>
      </c>
      <c r="BL18" s="26">
        <f t="shared" si="4"/>
        <v>0</v>
      </c>
      <c r="BM18" s="119">
        <v>6961</v>
      </c>
    </row>
    <row r="19" spans="1:70" x14ac:dyDescent="0.15">
      <c r="A19" s="2" t="s">
        <v>18</v>
      </c>
      <c r="C19" s="3">
        <v>2408</v>
      </c>
      <c r="E19" s="26">
        <f t="shared" si="0"/>
        <v>2.1594684385382035E-2</v>
      </c>
      <c r="F19" s="3">
        <v>2460</v>
      </c>
      <c r="H19" s="26">
        <f t="shared" si="5"/>
        <v>2.9268292682926855E-2</v>
      </c>
      <c r="I19" s="3">
        <v>2532</v>
      </c>
      <c r="K19" s="26">
        <f t="shared" ref="K19" si="87">(L19/I19)-1</f>
        <v>4.2654028436019065E-2</v>
      </c>
      <c r="L19" s="3">
        <v>2640</v>
      </c>
      <c r="N19" s="26">
        <f t="shared" ref="N19" si="88">(O19/L19)-1</f>
        <v>9.0151515151515094E-2</v>
      </c>
      <c r="O19" s="3">
        <v>2878</v>
      </c>
      <c r="Q19" s="26">
        <f t="shared" ref="Q19" si="89">(R19/O19)-1</f>
        <v>5.0729673384294571E-2</v>
      </c>
      <c r="R19" s="3">
        <v>3024</v>
      </c>
      <c r="T19" s="26">
        <f t="shared" ref="T19" si="90">(U19/R19)-1</f>
        <v>6.0185185185185119E-2</v>
      </c>
      <c r="U19" s="3">
        <v>3206</v>
      </c>
      <c r="W19" s="26">
        <f t="shared" ref="W19" si="91">(X19/U19)-1</f>
        <v>5.9887710542732453E-2</v>
      </c>
      <c r="X19" s="3">
        <v>3398</v>
      </c>
      <c r="Z19" s="26">
        <f t="shared" ref="Z19" si="92">(AA19/X19)-1</f>
        <v>0</v>
      </c>
      <c r="AA19" s="3">
        <v>3398</v>
      </c>
      <c r="AC19" s="26">
        <f t="shared" ref="AC19" si="93">(AD19/AA19)-1</f>
        <v>5.885815185403187E-2</v>
      </c>
      <c r="AD19" s="3">
        <v>3598</v>
      </c>
      <c r="AF19" s="26">
        <f t="shared" si="1"/>
        <v>6.0033351862145645E-2</v>
      </c>
      <c r="AG19" s="3">
        <v>3814</v>
      </c>
      <c r="AI19" s="26">
        <f t="shared" ref="AI19" si="94">(AJ19/AG19)-1</f>
        <v>4.9816465652857911E-2</v>
      </c>
      <c r="AJ19" s="3">
        <v>4004</v>
      </c>
      <c r="AL19" s="26">
        <f t="shared" si="14"/>
        <v>2.4975024975024906E-2</v>
      </c>
      <c r="AM19" s="3">
        <v>4104</v>
      </c>
      <c r="AO19" s="26">
        <f t="shared" si="15"/>
        <v>2.4853801169590684E-2</v>
      </c>
      <c r="AP19" s="3">
        <v>4206</v>
      </c>
      <c r="AR19" s="26">
        <f t="shared" si="16"/>
        <v>4.5173561578697008E-2</v>
      </c>
      <c r="AS19" s="3">
        <v>4396</v>
      </c>
      <c r="AU19" s="26">
        <f t="shared" si="17"/>
        <v>3.5031847133758065E-2</v>
      </c>
      <c r="AV19" s="3">
        <v>4550</v>
      </c>
      <c r="AX19" s="26">
        <f t="shared" si="18"/>
        <v>2.9890109890109873E-2</v>
      </c>
      <c r="AY19" s="3">
        <v>4686</v>
      </c>
      <c r="BA19" s="26">
        <f t="shared" si="19"/>
        <v>2.9876227059325577E-2</v>
      </c>
      <c r="BB19" s="3">
        <v>4826</v>
      </c>
      <c r="BD19" s="26">
        <f t="shared" si="2"/>
        <v>3.5225859925404057E-2</v>
      </c>
      <c r="BE19" s="3">
        <v>4996</v>
      </c>
      <c r="BH19" s="26">
        <f t="shared" si="3"/>
        <v>3.5228182546036768E-2</v>
      </c>
      <c r="BI19" s="3">
        <v>5172</v>
      </c>
      <c r="BL19" s="26">
        <f t="shared" si="4"/>
        <v>0</v>
      </c>
      <c r="BM19" s="119">
        <v>5172</v>
      </c>
    </row>
    <row r="20" spans="1:70" x14ac:dyDescent="0.15">
      <c r="A20" s="2" t="s">
        <v>20</v>
      </c>
      <c r="C20" s="3">
        <v>30</v>
      </c>
      <c r="E20" s="26">
        <f t="shared" si="0"/>
        <v>6.6666666666666652E-2</v>
      </c>
      <c r="F20" s="3">
        <v>32</v>
      </c>
      <c r="H20" s="26">
        <f t="shared" si="5"/>
        <v>6.25E-2</v>
      </c>
      <c r="I20" s="3">
        <v>34</v>
      </c>
      <c r="K20" s="26">
        <f t="shared" ref="K20" si="95">(L20/I20)-1</f>
        <v>0</v>
      </c>
      <c r="L20" s="3">
        <v>34</v>
      </c>
      <c r="N20" s="26">
        <f t="shared" ref="N20" si="96">(O20/L20)-1</f>
        <v>0.17647058823529416</v>
      </c>
      <c r="O20" s="3">
        <v>40</v>
      </c>
      <c r="Q20" s="26">
        <f t="shared" ref="Q20" si="97">(R20/O20)-1</f>
        <v>0.10000000000000009</v>
      </c>
      <c r="R20" s="3">
        <v>44</v>
      </c>
      <c r="T20" s="26">
        <f t="shared" ref="T20" si="98">(U20/R20)-1</f>
        <v>0</v>
      </c>
      <c r="U20" s="3">
        <v>44</v>
      </c>
      <c r="W20" s="26">
        <f t="shared" ref="W20" si="99">(X20/U20)-1</f>
        <v>0</v>
      </c>
      <c r="X20" s="3">
        <v>44</v>
      </c>
      <c r="Z20" s="26">
        <f t="shared" ref="Z20" si="100">(AA20/X20)-1</f>
        <v>0</v>
      </c>
      <c r="AA20" s="3">
        <v>44</v>
      </c>
      <c r="AC20" s="26">
        <f t="shared" ref="AC20" si="101">(AD20/AA20)-1</f>
        <v>0</v>
      </c>
      <c r="AD20" s="3">
        <v>44</v>
      </c>
      <c r="AF20" s="26">
        <f t="shared" si="1"/>
        <v>0</v>
      </c>
      <c r="AG20" s="3">
        <v>44</v>
      </c>
      <c r="AI20" s="26">
        <f t="shared" ref="AI20" si="102">(AJ20/AG20)-1</f>
        <v>0</v>
      </c>
      <c r="AJ20" s="3">
        <v>44</v>
      </c>
      <c r="AL20" s="26">
        <f t="shared" si="14"/>
        <v>0</v>
      </c>
      <c r="AM20" s="3">
        <v>44</v>
      </c>
      <c r="AO20" s="26">
        <f t="shared" si="15"/>
        <v>0</v>
      </c>
      <c r="AP20" s="3">
        <v>44</v>
      </c>
      <c r="AR20" s="26">
        <f t="shared" si="16"/>
        <v>0</v>
      </c>
      <c r="AS20" s="3">
        <v>44</v>
      </c>
      <c r="AU20" s="26">
        <f t="shared" si="17"/>
        <v>0</v>
      </c>
      <c r="AV20" s="3">
        <v>44</v>
      </c>
      <c r="AX20" s="26">
        <f t="shared" si="18"/>
        <v>0</v>
      </c>
      <c r="AY20" s="3">
        <v>44</v>
      </c>
      <c r="BA20" s="26">
        <f t="shared" si="19"/>
        <v>0</v>
      </c>
      <c r="BB20" s="3">
        <v>44</v>
      </c>
      <c r="BD20" s="26">
        <f t="shared" si="2"/>
        <v>0</v>
      </c>
      <c r="BE20" s="3">
        <v>44</v>
      </c>
      <c r="BH20" s="26">
        <f t="shared" si="3"/>
        <v>0</v>
      </c>
      <c r="BI20" s="3">
        <v>44</v>
      </c>
      <c r="BL20" s="26">
        <f t="shared" si="4"/>
        <v>0</v>
      </c>
      <c r="BM20" s="119">
        <v>44</v>
      </c>
      <c r="BQ20" s="21"/>
      <c r="BR20" s="21"/>
    </row>
    <row r="21" spans="1:70" ht="14" thickBot="1" x14ac:dyDescent="0.2">
      <c r="A21" s="2" t="s">
        <v>21</v>
      </c>
      <c r="C21" s="22">
        <f>SUM(C17:C20)</f>
        <v>9424</v>
      </c>
      <c r="D21" s="16"/>
      <c r="E21" s="26">
        <f>(F21/C21)-1</f>
        <v>3.8943123938879554E-2</v>
      </c>
      <c r="F21" s="22">
        <f>SUM(F17:F20)</f>
        <v>9791</v>
      </c>
      <c r="G21" s="16"/>
      <c r="H21" s="26">
        <f t="shared" si="5"/>
        <v>6.1995710346236299E-2</v>
      </c>
      <c r="I21" s="22">
        <f>SUM(I17:I20)</f>
        <v>10398</v>
      </c>
      <c r="J21" s="16"/>
      <c r="K21" s="26">
        <f t="shared" ref="K21" si="103">(L21/I21)-1</f>
        <v>6.2608193883439078E-2</v>
      </c>
      <c r="L21" s="22">
        <f>SUM(L17:L20)</f>
        <v>11049</v>
      </c>
      <c r="M21" s="16"/>
      <c r="N21" s="26">
        <f t="shared" ref="N21" si="104">(O21/L21)-1</f>
        <v>9.3945153407548165E-2</v>
      </c>
      <c r="O21" s="22">
        <f>SUM(O17:O20)</f>
        <v>12087</v>
      </c>
      <c r="P21" s="16"/>
      <c r="Q21" s="26">
        <f t="shared" ref="Q21" si="105">(R21/O21)-1</f>
        <v>7.0406221560354032E-2</v>
      </c>
      <c r="R21" s="22">
        <f>SUM(R17:R20)</f>
        <v>12938</v>
      </c>
      <c r="S21" s="16"/>
      <c r="T21" s="26">
        <f t="shared" ref="T21" si="106">(U21/R21)-1</f>
        <v>5.2635646931519453E-2</v>
      </c>
      <c r="U21" s="22">
        <f>SUM(U17:U20)</f>
        <v>13619</v>
      </c>
      <c r="V21" s="16"/>
      <c r="W21" s="26">
        <f t="shared" ref="W21" si="107">(X21/U21)-1</f>
        <v>5.2353329906748014E-2</v>
      </c>
      <c r="X21" s="22">
        <f>SUM(X17:X20)</f>
        <v>14332</v>
      </c>
      <c r="Y21" s="16"/>
      <c r="Z21" s="26">
        <f t="shared" ref="Z21" si="108">(AA21/X21)-1</f>
        <v>3.8236114987440617E-2</v>
      </c>
      <c r="AA21" s="22">
        <f>SUM(AA17:AA20)</f>
        <v>14880</v>
      </c>
      <c r="AB21" s="16"/>
      <c r="AC21" s="26">
        <f t="shared" ref="AC21" si="109">(AD21/AA21)-1</f>
        <v>5.2419354838709742E-2</v>
      </c>
      <c r="AD21" s="22">
        <f>SUM(AD17:AD20)</f>
        <v>15660</v>
      </c>
      <c r="AE21" s="16"/>
      <c r="AF21" s="26">
        <f t="shared" si="1"/>
        <v>5.5938697318007602E-2</v>
      </c>
      <c r="AG21" s="22">
        <f>SUM(AG17:AG20)</f>
        <v>16536</v>
      </c>
      <c r="AH21" s="16"/>
      <c r="AI21" s="26">
        <f t="shared" ref="AI21" si="110">(AJ21/AG21)-1</f>
        <v>5.4487179487179516E-2</v>
      </c>
      <c r="AJ21" s="22">
        <f>SUM(AJ17:AJ20)</f>
        <v>17437</v>
      </c>
      <c r="AK21" s="16"/>
      <c r="AL21" s="26">
        <f t="shared" si="14"/>
        <v>2.4774903939897897E-2</v>
      </c>
      <c r="AM21" s="22">
        <f>SUM(AM17:AM20)</f>
        <v>17869</v>
      </c>
      <c r="AN21" s="16"/>
      <c r="AO21" s="26">
        <f t="shared" si="15"/>
        <v>2.8429123062286621E-2</v>
      </c>
      <c r="AP21" s="22">
        <f>SUM(AP17:AP20)</f>
        <v>18377</v>
      </c>
      <c r="AQ21" s="16"/>
      <c r="AR21" s="26">
        <f t="shared" si="16"/>
        <v>4.5437231321760807E-2</v>
      </c>
      <c r="AS21" s="22">
        <f>SUM(AS17:AS20)</f>
        <v>19212</v>
      </c>
      <c r="AT21" s="16"/>
      <c r="AU21" s="26">
        <f t="shared" si="17"/>
        <v>2.7951280449718841E-2</v>
      </c>
      <c r="AV21" s="22">
        <f>SUM(AV17:AV20)</f>
        <v>19749</v>
      </c>
      <c r="AW21" s="16"/>
      <c r="AX21" s="26">
        <f t="shared" si="18"/>
        <v>3.4685300521545503E-2</v>
      </c>
      <c r="AY21" s="22">
        <f>SUM(AY17:AY20)</f>
        <v>20434</v>
      </c>
      <c r="AZ21" s="16"/>
      <c r="BA21" s="26">
        <f t="shared" si="19"/>
        <v>3.7633356171087318E-2</v>
      </c>
      <c r="BB21" s="22">
        <f>SUM(BB17:BB20)</f>
        <v>21203</v>
      </c>
      <c r="BC21" s="16"/>
      <c r="BD21" s="26">
        <f t="shared" si="2"/>
        <v>3.9522709050606064E-2</v>
      </c>
      <c r="BE21" s="22">
        <f>SUM(BE17:BE20)</f>
        <v>22041</v>
      </c>
      <c r="BF21" s="20"/>
      <c r="BG21" s="16"/>
      <c r="BH21" s="26">
        <f t="shared" si="3"/>
        <v>3.4118234199900233E-2</v>
      </c>
      <c r="BI21" s="22">
        <f>SUM(BI17:BI20)</f>
        <v>22793</v>
      </c>
      <c r="BK21" s="16"/>
      <c r="BL21" s="26">
        <f t="shared" si="4"/>
        <v>1.983064976089155E-2</v>
      </c>
      <c r="BM21" s="120">
        <f>SUM(BM17:BM20)</f>
        <v>23245</v>
      </c>
      <c r="BO21" s="19"/>
      <c r="BP21" s="22">
        <f>SUM(BP10:BP20)</f>
        <v>8668</v>
      </c>
      <c r="BQ21" s="22">
        <f>SUM(BQ10:BQ20)</f>
        <v>9032</v>
      </c>
      <c r="BR21" s="22">
        <f>SUM(BR10:BR20)</f>
        <v>9910</v>
      </c>
    </row>
    <row r="22" spans="1:70" ht="14" thickTop="1" x14ac:dyDescent="0.15"/>
    <row r="23" spans="1:70" x14ac:dyDescent="0.15">
      <c r="A23" s="12" t="s">
        <v>22</v>
      </c>
    </row>
    <row r="24" spans="1:70" x14ac:dyDescent="0.15">
      <c r="A24" s="2" t="s">
        <v>13</v>
      </c>
      <c r="C24" s="3">
        <v>6674</v>
      </c>
      <c r="E24" s="26">
        <f t="shared" ref="E24:E35" si="111">(F24/C24)-1</f>
        <v>3.8957147138148018E-2</v>
      </c>
      <c r="F24" s="3">
        <v>6934</v>
      </c>
      <c r="H24" s="26">
        <f t="shared" ref="H24:H35" si="112">(I24/F24)-1</f>
        <v>3.8938563599653975E-2</v>
      </c>
      <c r="I24" s="3">
        <v>7204</v>
      </c>
      <c r="K24" s="26">
        <f t="shared" ref="K24" si="113">(L24/I24)-1</f>
        <v>3.9006107717934446E-2</v>
      </c>
      <c r="L24" s="3">
        <v>7485</v>
      </c>
      <c r="N24" s="26">
        <f t="shared" ref="N24" si="114">(O24/L24)-1</f>
        <v>0.14495657982631927</v>
      </c>
      <c r="O24" s="3">
        <v>8570</v>
      </c>
      <c r="Q24" s="26">
        <f t="shared" ref="Q24" si="115">(R24/O24)-1</f>
        <v>8.098016336056002E-2</v>
      </c>
      <c r="R24" s="3">
        <v>9264</v>
      </c>
      <c r="T24" s="26">
        <f t="shared" ref="T24" si="116">(U24/R24)-1</f>
        <v>6.0017271157167595E-2</v>
      </c>
      <c r="U24" s="3">
        <v>9820</v>
      </c>
      <c r="W24" s="26">
        <f t="shared" ref="W24" si="117">(X24/U24)-1</f>
        <v>5.0407331975560021E-2</v>
      </c>
      <c r="X24" s="3">
        <v>10315</v>
      </c>
      <c r="Z24" s="26">
        <f t="shared" ref="Z24" si="118">(AA24/X24)-1</f>
        <v>5.0024236548715573E-2</v>
      </c>
      <c r="AA24" s="3">
        <v>10831</v>
      </c>
      <c r="AC24" s="26">
        <f t="shared" ref="AC24" si="119">(AD24/AA24)-1</f>
        <v>5.0041547410211384E-2</v>
      </c>
      <c r="AD24" s="3">
        <v>11373</v>
      </c>
      <c r="AF24" s="26">
        <f t="shared" ref="AF24:AF35" si="120">(AG24/AD24)-1</f>
        <v>6.4978457750813234E-2</v>
      </c>
      <c r="AG24" s="3">
        <v>12112</v>
      </c>
      <c r="AI24" s="26">
        <f t="shared" ref="AI24" si="121">(AJ24/AG24)-1</f>
        <v>7.4966974900924743E-2</v>
      </c>
      <c r="AJ24" s="3">
        <v>13020</v>
      </c>
      <c r="AL24" s="26">
        <f t="shared" ref="AL24:AL35" si="122">(AM24/AJ24)-1</f>
        <v>2.5038402457757236E-2</v>
      </c>
      <c r="AM24" s="3">
        <v>13346</v>
      </c>
      <c r="AO24" s="26">
        <f t="shared" ref="AO24:AO35" si="123">(AP24/AM24)-1</f>
        <v>3.8962985164094022E-2</v>
      </c>
      <c r="AP24" s="3">
        <v>13866</v>
      </c>
      <c r="AR24" s="26">
        <f t="shared" ref="AR24:AR35" si="124">(AS24/AP24)-1</f>
        <v>5.2502524159815378E-2</v>
      </c>
      <c r="AS24" s="3">
        <v>14594</v>
      </c>
      <c r="AU24" s="26">
        <f t="shared" ref="AU24:AU35" si="125">(AV24/AS24)-1</f>
        <v>2.0008222557215349E-2</v>
      </c>
      <c r="AV24" s="3">
        <v>14886</v>
      </c>
      <c r="AX24" s="26">
        <f t="shared" ref="AX24:AX35" si="126">(AY24/AV24)-1</f>
        <v>8.0075238479107913E-2</v>
      </c>
      <c r="AY24" s="3">
        <v>16078</v>
      </c>
      <c r="BA24" s="26">
        <f t="shared" ref="BA24:BA35" si="127">(BB24/AY24)-1</f>
        <v>5.000621967906449E-2</v>
      </c>
      <c r="BB24" s="3">
        <v>16882</v>
      </c>
      <c r="BD24" s="26">
        <f t="shared" ref="BD24:BD35" si="128">(BE24/BB24)-1</f>
        <v>0</v>
      </c>
      <c r="BE24" s="3">
        <v>16882</v>
      </c>
      <c r="BF24" s="4">
        <v>-1</v>
      </c>
      <c r="BH24" s="26">
        <f t="shared" ref="BH24:BH35" si="129">(BI24/BE24)-1</f>
        <v>0</v>
      </c>
      <c r="BI24" s="3">
        <v>16882</v>
      </c>
      <c r="BJ24" s="4">
        <v>-1</v>
      </c>
      <c r="BL24" s="26">
        <f t="shared" ref="BL24:BL35" si="130">(BM24/BI24)-1</f>
        <v>4.9994076531216791E-2</v>
      </c>
      <c r="BM24" s="3">
        <v>17726</v>
      </c>
      <c r="BN24" s="4">
        <v>-1</v>
      </c>
      <c r="BP24" s="3">
        <f>BE24</f>
        <v>16882</v>
      </c>
      <c r="BQ24" s="3">
        <f>BI24</f>
        <v>16882</v>
      </c>
      <c r="BR24" s="3">
        <f>BM24</f>
        <v>17726</v>
      </c>
    </row>
    <row r="25" spans="1:70" x14ac:dyDescent="0.15">
      <c r="A25" s="2" t="s">
        <v>14</v>
      </c>
      <c r="C25" s="3">
        <v>1565</v>
      </c>
      <c r="E25" s="26">
        <f t="shared" si="111"/>
        <v>3.514376996805102E-2</v>
      </c>
      <c r="F25" s="3">
        <v>1620</v>
      </c>
      <c r="H25" s="26">
        <f t="shared" si="112"/>
        <v>3.5185185185185208E-2</v>
      </c>
      <c r="I25" s="3">
        <v>1677</v>
      </c>
      <c r="K25" s="26">
        <f t="shared" ref="K25" si="131">(L25/I25)-1</f>
        <v>3.5181872391174762E-2</v>
      </c>
      <c r="L25" s="3">
        <v>1736</v>
      </c>
      <c r="N25" s="26">
        <f t="shared" ref="N25" si="132">(O25/L25)-1</f>
        <v>3.5714285714285809E-2</v>
      </c>
      <c r="O25" s="3">
        <v>1798</v>
      </c>
      <c r="Q25" s="26">
        <f t="shared" ref="Q25" si="133">(R25/O25)-1</f>
        <v>4.5050055617352536E-2</v>
      </c>
      <c r="R25" s="3">
        <v>1879</v>
      </c>
      <c r="T25" s="26">
        <f t="shared" ref="T25" si="134">(U25/R25)-1</f>
        <v>3.5125066524747117E-2</v>
      </c>
      <c r="U25" s="3">
        <v>1945</v>
      </c>
      <c r="W25" s="26">
        <f t="shared" ref="W25" si="135">(X25/U25)-1</f>
        <v>3.5475578406169772E-2</v>
      </c>
      <c r="X25" s="3">
        <v>2014</v>
      </c>
      <c r="Z25" s="26">
        <f t="shared" ref="Z25" si="136">(AA25/X25)-1</f>
        <v>3.4756703078450801E-2</v>
      </c>
      <c r="AA25" s="3">
        <v>2084</v>
      </c>
      <c r="AC25" s="26">
        <f t="shared" ref="AC25" si="137">(AD25/AA25)-1</f>
        <v>3.5028790786948205E-2</v>
      </c>
      <c r="AD25" s="3">
        <v>2157</v>
      </c>
      <c r="AF25" s="26">
        <f t="shared" si="120"/>
        <v>3.4770514603616132E-2</v>
      </c>
      <c r="AG25" s="3">
        <v>2232</v>
      </c>
      <c r="AI25" s="26">
        <f t="shared" ref="AI25" si="138">(AJ25/AG25)-1</f>
        <v>3.4946236559139754E-2</v>
      </c>
      <c r="AJ25" s="3">
        <v>2310</v>
      </c>
      <c r="AL25" s="26">
        <f t="shared" si="122"/>
        <v>2.510822510822508E-2</v>
      </c>
      <c r="AM25" s="3">
        <v>2368</v>
      </c>
      <c r="AO25" s="26">
        <f t="shared" si="123"/>
        <v>3.5050675675675658E-2</v>
      </c>
      <c r="AP25" s="3">
        <v>2451</v>
      </c>
      <c r="AR25" s="26">
        <f t="shared" si="124"/>
        <v>0</v>
      </c>
      <c r="AS25" s="3">
        <v>2451</v>
      </c>
      <c r="AU25" s="26">
        <f t="shared" si="125"/>
        <v>1.9991840065279431E-2</v>
      </c>
      <c r="AV25" s="3">
        <v>2500</v>
      </c>
      <c r="AX25" s="26">
        <f t="shared" si="126"/>
        <v>-0.19999999999999996</v>
      </c>
      <c r="AY25" s="3">
        <v>2000</v>
      </c>
      <c r="BA25" s="26">
        <f t="shared" si="127"/>
        <v>3.0000000000000027E-2</v>
      </c>
      <c r="BB25" s="3">
        <v>2060</v>
      </c>
      <c r="BD25" s="26">
        <f t="shared" si="128"/>
        <v>3.0097087378640808E-2</v>
      </c>
      <c r="BE25" s="3">
        <v>2122</v>
      </c>
      <c r="BH25" s="26">
        <f t="shared" si="129"/>
        <v>3.016022620169645E-2</v>
      </c>
      <c r="BI25" s="3">
        <v>2186</v>
      </c>
      <c r="BJ25" s="4"/>
      <c r="BL25" s="26">
        <f t="shared" si="130"/>
        <v>-5.0320219579140013E-2</v>
      </c>
      <c r="BM25" s="3">
        <v>2076</v>
      </c>
      <c r="BN25" s="4"/>
      <c r="BP25" s="4"/>
    </row>
    <row r="26" spans="1:70" x14ac:dyDescent="0.15">
      <c r="A26" s="2" t="s">
        <v>15</v>
      </c>
      <c r="C26" s="3">
        <f>850+125</f>
        <v>975</v>
      </c>
      <c r="E26" s="26">
        <f t="shared" si="111"/>
        <v>9.1282051282051357E-2</v>
      </c>
      <c r="F26" s="3">
        <f>939+125</f>
        <v>1064</v>
      </c>
      <c r="H26" s="26">
        <f t="shared" si="112"/>
        <v>0.25751879699248126</v>
      </c>
      <c r="I26" s="3">
        <f>1188+150</f>
        <v>1338</v>
      </c>
      <c r="K26" s="26">
        <f t="shared" ref="K26" si="139">(L26/I26)-1</f>
        <v>0.20328849028400597</v>
      </c>
      <c r="L26" s="3">
        <f>1410+200</f>
        <v>1610</v>
      </c>
      <c r="N26" s="26">
        <f t="shared" ref="N26" si="140">(O26/L26)-1</f>
        <v>0.15714285714285725</v>
      </c>
      <c r="O26" s="3">
        <f>1645+218</f>
        <v>1863</v>
      </c>
      <c r="Q26" s="26">
        <f t="shared" ref="Q26" si="141">(R26/O26)-1</f>
        <v>0.1460010735373054</v>
      </c>
      <c r="R26" s="3">
        <f>1917+218</f>
        <v>2135</v>
      </c>
      <c r="T26" s="26">
        <f t="shared" ref="T26" si="142">(U26/R26)-1</f>
        <v>2.9039812646370011E-2</v>
      </c>
      <c r="U26" s="3">
        <f>1974+223</f>
        <v>2197</v>
      </c>
      <c r="W26" s="26">
        <f t="shared" ref="W26" si="143">(X26/U26)-1</f>
        <v>4.4606281292671746E-2</v>
      </c>
      <c r="X26" s="3">
        <f>2072+223</f>
        <v>2295</v>
      </c>
      <c r="Z26" s="26">
        <f t="shared" ref="Z26" si="144">(AA26/X26)-1</f>
        <v>4.5315904139433538E-2</v>
      </c>
      <c r="AA26" s="3">
        <f>2176+223</f>
        <v>2399</v>
      </c>
      <c r="AC26" s="26">
        <f t="shared" ref="AC26" si="145">(AD26/AA26)-1</f>
        <v>4.5852438516048366E-2</v>
      </c>
      <c r="AD26" s="3">
        <f>2286+223</f>
        <v>2509</v>
      </c>
      <c r="AF26" s="26">
        <f t="shared" si="120"/>
        <v>4.5037863690713387E-2</v>
      </c>
      <c r="AG26" s="3">
        <v>2622</v>
      </c>
      <c r="AI26" s="26">
        <f t="shared" ref="AI26" si="146">(AJ26/AG26)-1</f>
        <v>5.1106025934401167E-2</v>
      </c>
      <c r="AJ26" s="3">
        <v>2756</v>
      </c>
      <c r="AL26" s="26">
        <f t="shared" si="122"/>
        <v>2.503628447024675E-2</v>
      </c>
      <c r="AM26" s="3">
        <v>2825</v>
      </c>
      <c r="AO26" s="26">
        <f t="shared" si="123"/>
        <v>2.5132743362831889E-2</v>
      </c>
      <c r="AP26" s="3">
        <v>2896</v>
      </c>
      <c r="AR26" s="26">
        <f t="shared" si="124"/>
        <v>4.4889502762430977E-2</v>
      </c>
      <c r="AS26" s="3">
        <v>3026</v>
      </c>
      <c r="AU26" s="26">
        <f t="shared" si="125"/>
        <v>1.9828155981493678E-2</v>
      </c>
      <c r="AV26" s="3">
        <v>3086</v>
      </c>
      <c r="AX26" s="26">
        <f t="shared" si="126"/>
        <v>8.6195722618276127E-2</v>
      </c>
      <c r="AY26" s="3">
        <v>3352</v>
      </c>
      <c r="BA26" s="26">
        <f t="shared" si="127"/>
        <v>5.0119331742243478E-2</v>
      </c>
      <c r="BB26" s="3">
        <v>3520</v>
      </c>
      <c r="BD26" s="26">
        <f t="shared" si="128"/>
        <v>4.2613636363636465E-2</v>
      </c>
      <c r="BE26" s="3">
        <v>3670</v>
      </c>
      <c r="BF26" s="4">
        <v>-2</v>
      </c>
      <c r="BH26" s="26">
        <f t="shared" si="129"/>
        <v>3.9782016348773874E-2</v>
      </c>
      <c r="BI26" s="3">
        <v>3816</v>
      </c>
      <c r="BJ26" s="4">
        <v>-3</v>
      </c>
      <c r="BL26" s="26">
        <f t="shared" si="130"/>
        <v>4.4549266247379427E-2</v>
      </c>
      <c r="BM26" s="3">
        <v>3986</v>
      </c>
      <c r="BN26" s="4">
        <v>-3</v>
      </c>
      <c r="BP26" s="3">
        <f>BE26-68-125-10-223</f>
        <v>3244</v>
      </c>
      <c r="BQ26" s="3">
        <f>BI26-68-125-10-223</f>
        <v>3390</v>
      </c>
      <c r="BR26" s="3">
        <f>BM26</f>
        <v>3986</v>
      </c>
    </row>
    <row r="27" spans="1:70" x14ac:dyDescent="0.15">
      <c r="A27" s="2" t="s">
        <v>16</v>
      </c>
      <c r="C27" s="3">
        <v>98</v>
      </c>
      <c r="E27" s="26">
        <f t="shared" si="111"/>
        <v>4.081632653061229E-2</v>
      </c>
      <c r="F27" s="3">
        <v>102</v>
      </c>
      <c r="H27" s="26">
        <f t="shared" si="112"/>
        <v>0.17647058823529416</v>
      </c>
      <c r="I27" s="3">
        <v>120</v>
      </c>
      <c r="K27" s="26">
        <f t="shared" ref="K27" si="147">(L27/I27)-1</f>
        <v>0</v>
      </c>
      <c r="L27" s="3">
        <v>120</v>
      </c>
      <c r="N27" s="26">
        <f t="shared" ref="N27" si="148">(O27/L27)-1</f>
        <v>0</v>
      </c>
      <c r="O27" s="3">
        <v>120</v>
      </c>
      <c r="Q27" s="26">
        <f t="shared" ref="Q27" si="149">(R27/O27)-1</f>
        <v>0</v>
      </c>
      <c r="R27" s="3">
        <v>120</v>
      </c>
      <c r="T27" s="26">
        <f t="shared" ref="T27" si="150">(U27/R27)-1</f>
        <v>0</v>
      </c>
      <c r="U27" s="3">
        <v>120</v>
      </c>
      <c r="W27" s="26">
        <f t="shared" ref="W27" si="151">(X27/U27)-1</f>
        <v>0</v>
      </c>
      <c r="X27" s="3">
        <v>120</v>
      </c>
      <c r="Z27" s="26">
        <f t="shared" ref="Z27" si="152">(AA27/X27)-1</f>
        <v>0</v>
      </c>
      <c r="AA27" s="3">
        <v>120</v>
      </c>
      <c r="AC27" s="26">
        <f t="shared" ref="AC27" si="153">(AD27/AA27)-1</f>
        <v>0</v>
      </c>
      <c r="AD27" s="3">
        <v>120</v>
      </c>
      <c r="AF27" s="26">
        <f t="shared" si="120"/>
        <v>0</v>
      </c>
      <c r="AG27" s="3">
        <v>120</v>
      </c>
      <c r="AI27" s="26">
        <f t="shared" ref="AI27" si="154">(AJ27/AG27)-1</f>
        <v>0</v>
      </c>
      <c r="AJ27" s="3">
        <v>120</v>
      </c>
      <c r="AL27" s="26">
        <f t="shared" si="122"/>
        <v>0</v>
      </c>
      <c r="AM27" s="3">
        <v>120</v>
      </c>
      <c r="AO27" s="26">
        <f t="shared" si="123"/>
        <v>0</v>
      </c>
      <c r="AP27" s="3">
        <v>120</v>
      </c>
      <c r="AR27" s="26">
        <f t="shared" si="124"/>
        <v>0</v>
      </c>
      <c r="AS27" s="3">
        <v>120</v>
      </c>
      <c r="AU27" s="26">
        <f t="shared" si="125"/>
        <v>0</v>
      </c>
      <c r="AV27" s="3">
        <v>120</v>
      </c>
      <c r="AX27" s="26">
        <f t="shared" si="126"/>
        <v>0</v>
      </c>
      <c r="AY27" s="3">
        <v>120</v>
      </c>
      <c r="BA27" s="26">
        <f t="shared" si="127"/>
        <v>0</v>
      </c>
      <c r="BB27" s="3">
        <v>120</v>
      </c>
      <c r="BD27" s="26">
        <f t="shared" si="128"/>
        <v>0.5</v>
      </c>
      <c r="BE27" s="3">
        <v>180</v>
      </c>
      <c r="BH27" s="26">
        <f t="shared" si="129"/>
        <v>0</v>
      </c>
      <c r="BI27" s="3">
        <v>180</v>
      </c>
      <c r="BL27" s="26">
        <f t="shared" si="130"/>
        <v>0</v>
      </c>
      <c r="BM27" s="3">
        <v>180</v>
      </c>
    </row>
    <row r="28" spans="1:70" x14ac:dyDescent="0.15">
      <c r="A28" s="2" t="s">
        <v>28</v>
      </c>
      <c r="E28" s="26" t="e">
        <f t="shared" si="111"/>
        <v>#DIV/0!</v>
      </c>
      <c r="H28" s="26" t="e">
        <f t="shared" si="112"/>
        <v>#DIV/0!</v>
      </c>
      <c r="K28" s="26" t="e">
        <f t="shared" ref="K28" si="155">(L28/I28)-1</f>
        <v>#DIV/0!</v>
      </c>
      <c r="L28" s="3">
        <v>20</v>
      </c>
      <c r="N28" s="26">
        <f t="shared" ref="N28" si="156">(O28/L28)-1</f>
        <v>0</v>
      </c>
      <c r="O28" s="3">
        <v>20</v>
      </c>
      <c r="Q28" s="26">
        <f t="shared" ref="Q28" si="157">(R28/O28)-1</f>
        <v>0</v>
      </c>
      <c r="R28" s="3">
        <v>20</v>
      </c>
      <c r="T28" s="26">
        <f t="shared" ref="T28" si="158">(U28/R28)-1</f>
        <v>0</v>
      </c>
      <c r="U28" s="3">
        <v>20</v>
      </c>
      <c r="W28" s="26">
        <f t="shared" ref="W28" si="159">(X28/U28)-1</f>
        <v>0</v>
      </c>
      <c r="X28" s="3">
        <v>20</v>
      </c>
      <c r="Z28" s="26">
        <f t="shared" ref="Z28" si="160">(AA28/X28)-1</f>
        <v>0</v>
      </c>
      <c r="AA28" s="3">
        <v>20</v>
      </c>
      <c r="AC28" s="26">
        <f t="shared" ref="AC28" si="161">(AD28/AA28)-1</f>
        <v>0</v>
      </c>
      <c r="AD28" s="3">
        <v>20</v>
      </c>
      <c r="AF28" s="26">
        <f t="shared" si="120"/>
        <v>0</v>
      </c>
      <c r="AG28" s="3">
        <v>20</v>
      </c>
      <c r="AI28" s="26">
        <f t="shared" ref="AI28" si="162">(AJ28/AG28)-1</f>
        <v>0</v>
      </c>
      <c r="AJ28" s="3">
        <v>20</v>
      </c>
      <c r="AL28" s="26">
        <f t="shared" si="122"/>
        <v>0</v>
      </c>
      <c r="AM28" s="3">
        <v>20</v>
      </c>
      <c r="AO28" s="26">
        <f t="shared" si="123"/>
        <v>0</v>
      </c>
      <c r="AP28" s="3">
        <v>20</v>
      </c>
      <c r="AR28" s="26">
        <f t="shared" si="124"/>
        <v>0</v>
      </c>
      <c r="AS28" s="3">
        <v>20</v>
      </c>
      <c r="AU28" s="26">
        <f t="shared" si="125"/>
        <v>0</v>
      </c>
      <c r="AV28" s="3">
        <v>20</v>
      </c>
      <c r="AX28" s="26">
        <f t="shared" si="126"/>
        <v>0</v>
      </c>
      <c r="AY28" s="3">
        <v>20</v>
      </c>
      <c r="BA28" s="26">
        <f t="shared" si="127"/>
        <v>0</v>
      </c>
      <c r="BB28" s="3">
        <v>20</v>
      </c>
      <c r="BD28" s="26">
        <f t="shared" si="128"/>
        <v>0</v>
      </c>
      <c r="BE28" s="3">
        <v>20</v>
      </c>
      <c r="BH28" s="26">
        <f t="shared" si="129"/>
        <v>0</v>
      </c>
      <c r="BI28" s="3">
        <v>20</v>
      </c>
      <c r="BL28" s="26">
        <f t="shared" si="130"/>
        <v>0</v>
      </c>
      <c r="BM28" s="3">
        <v>20</v>
      </c>
    </row>
    <row r="29" spans="1:70" x14ac:dyDescent="0.15">
      <c r="A29" s="2" t="s">
        <v>57</v>
      </c>
      <c r="C29" s="15">
        <f t="shared" ref="C29:AJ29" si="163">SUM(C24:C28)</f>
        <v>9312</v>
      </c>
      <c r="D29" s="16"/>
      <c r="E29" s="26">
        <f t="shared" si="111"/>
        <v>4.3814432989690788E-2</v>
      </c>
      <c r="F29" s="15">
        <f t="shared" si="163"/>
        <v>9720</v>
      </c>
      <c r="G29" s="16"/>
      <c r="H29" s="26">
        <f t="shared" si="112"/>
        <v>6.368312757201644E-2</v>
      </c>
      <c r="I29" s="15">
        <f t="shared" si="163"/>
        <v>10339</v>
      </c>
      <c r="J29" s="16"/>
      <c r="K29" s="26">
        <f t="shared" ref="K29:K30" si="164">(L29/I29)-1</f>
        <v>6.1127768643002289E-2</v>
      </c>
      <c r="L29" s="15">
        <f t="shared" si="163"/>
        <v>10971</v>
      </c>
      <c r="M29" s="16"/>
      <c r="N29" s="26">
        <f t="shared" ref="N29:N30" si="165">(O29/L29)-1</f>
        <v>0.12760915139914331</v>
      </c>
      <c r="O29" s="15">
        <f t="shared" si="163"/>
        <v>12371</v>
      </c>
      <c r="P29" s="16"/>
      <c r="Q29" s="26">
        <f t="shared" ref="Q29:Q30" si="166">(R29/O29)-1</f>
        <v>8.4633416862015975E-2</v>
      </c>
      <c r="R29" s="15">
        <f t="shared" si="163"/>
        <v>13418</v>
      </c>
      <c r="S29" s="16"/>
      <c r="T29" s="26">
        <f t="shared" ref="T29:T30" si="167">(U29/R29)-1</f>
        <v>5.0976300491876625E-2</v>
      </c>
      <c r="U29" s="15">
        <f t="shared" si="163"/>
        <v>14102</v>
      </c>
      <c r="V29" s="16"/>
      <c r="W29" s="26">
        <f t="shared" ref="W29:W30" si="168">(X29/U29)-1</f>
        <v>4.6943695929655416E-2</v>
      </c>
      <c r="X29" s="15">
        <f t="shared" si="163"/>
        <v>14764</v>
      </c>
      <c r="Y29" s="16"/>
      <c r="Z29" s="26">
        <f t="shared" ref="Z29:Z30" si="169">(AA29/X29)-1</f>
        <v>4.6735302086155617E-2</v>
      </c>
      <c r="AA29" s="15">
        <f t="shared" si="163"/>
        <v>15454</v>
      </c>
      <c r="AB29" s="16"/>
      <c r="AC29" s="26">
        <f t="shared" ref="AC29:AC30" si="170">(AD29/AA29)-1</f>
        <v>4.6913420473663869E-2</v>
      </c>
      <c r="AD29" s="15">
        <f t="shared" si="163"/>
        <v>16179</v>
      </c>
      <c r="AE29" s="16"/>
      <c r="AF29" s="26">
        <f t="shared" si="120"/>
        <v>5.7296495457074048E-2</v>
      </c>
      <c r="AG29" s="15">
        <f t="shared" si="163"/>
        <v>17106</v>
      </c>
      <c r="AH29" s="16"/>
      <c r="AI29" s="26">
        <f t="shared" ref="AI29:AI30" si="171">(AJ29/AG29)-1</f>
        <v>6.5474102654039523E-2</v>
      </c>
      <c r="AJ29" s="15">
        <f t="shared" si="163"/>
        <v>18226</v>
      </c>
      <c r="AK29" s="16"/>
      <c r="AL29" s="26">
        <f t="shared" si="122"/>
        <v>2.4854603313947177E-2</v>
      </c>
      <c r="AM29" s="15">
        <f t="shared" ref="AM29" si="172">SUM(AM24:AM28)</f>
        <v>18679</v>
      </c>
      <c r="AN29" s="16"/>
      <c r="AO29" s="26">
        <f t="shared" si="123"/>
        <v>3.6083302103967041E-2</v>
      </c>
      <c r="AP29" s="15">
        <f t="shared" ref="AP29" si="173">SUM(AP24:AP28)</f>
        <v>19353</v>
      </c>
      <c r="AQ29" s="16"/>
      <c r="AR29" s="26">
        <f t="shared" si="124"/>
        <v>4.4334211750116204E-2</v>
      </c>
      <c r="AS29" s="15">
        <f t="shared" ref="AS29" si="174">SUM(AS24:AS28)</f>
        <v>20211</v>
      </c>
      <c r="AT29" s="16"/>
      <c r="AU29" s="26">
        <f t="shared" si="125"/>
        <v>1.9840680817376777E-2</v>
      </c>
      <c r="AV29" s="15">
        <f t="shared" ref="AV29" si="175">SUM(AV24:AV28)</f>
        <v>20612</v>
      </c>
      <c r="AW29" s="16"/>
      <c r="AX29" s="26">
        <f t="shared" si="126"/>
        <v>4.6477779934019026E-2</v>
      </c>
      <c r="AY29" s="15">
        <f t="shared" ref="AY29" si="176">SUM(AY24:AY28)</f>
        <v>21570</v>
      </c>
      <c r="AZ29" s="16"/>
      <c r="BA29" s="26">
        <f t="shared" si="127"/>
        <v>4.7844228094575891E-2</v>
      </c>
      <c r="BB29" s="15">
        <f t="shared" ref="BB29" si="177">SUM(BB24:BB28)</f>
        <v>22602</v>
      </c>
      <c r="BC29" s="16"/>
      <c r="BD29" s="26">
        <f t="shared" si="128"/>
        <v>1.2034333244845596E-2</v>
      </c>
      <c r="BE29" s="15">
        <f t="shared" ref="BE29" si="178">SUM(BE24:BE28)</f>
        <v>22874</v>
      </c>
      <c r="BF29" s="20"/>
      <c r="BG29" s="16"/>
      <c r="BH29" s="26">
        <f t="shared" si="129"/>
        <v>9.1807292122059181E-3</v>
      </c>
      <c r="BI29" s="15">
        <f t="shared" ref="BI29" si="179">SUM(BI24:BI28)</f>
        <v>23084</v>
      </c>
      <c r="BK29" s="16"/>
      <c r="BL29" s="26">
        <f t="shared" si="130"/>
        <v>3.9161323860682717E-2</v>
      </c>
      <c r="BM29" s="15">
        <f t="shared" ref="BM29" si="180">SUM(BM24:BM28)</f>
        <v>23988</v>
      </c>
      <c r="BO29" s="19"/>
    </row>
    <row r="30" spans="1:70" x14ac:dyDescent="0.15">
      <c r="A30" s="2" t="s">
        <v>58</v>
      </c>
      <c r="E30" s="26" t="e">
        <f t="shared" ref="E30:E31" si="181">(F30/C30)-1</f>
        <v>#DIV/0!</v>
      </c>
      <c r="H30" s="26" t="e">
        <f t="shared" ref="H30:H31" si="182">(I30/F30)-1</f>
        <v>#DIV/0!</v>
      </c>
      <c r="K30" s="26" t="e">
        <f t="shared" si="164"/>
        <v>#DIV/0!</v>
      </c>
      <c r="N30" s="26" t="e">
        <f t="shared" si="165"/>
        <v>#DIV/0!</v>
      </c>
      <c r="Q30" s="26" t="e">
        <f t="shared" si="166"/>
        <v>#DIV/0!</v>
      </c>
      <c r="T30" s="26" t="e">
        <f t="shared" si="167"/>
        <v>#DIV/0!</v>
      </c>
      <c r="W30" s="26" t="e">
        <f t="shared" si="168"/>
        <v>#DIV/0!</v>
      </c>
      <c r="Z30" s="26" t="e">
        <f t="shared" si="169"/>
        <v>#DIV/0!</v>
      </c>
      <c r="AC30" s="26" t="e">
        <f t="shared" si="170"/>
        <v>#DIV/0!</v>
      </c>
      <c r="AF30" s="26" t="e">
        <f t="shared" ref="AF30:AF31" si="183">(AG30/AD30)-1</f>
        <v>#DIV/0!</v>
      </c>
      <c r="AI30" s="26" t="e">
        <f t="shared" si="171"/>
        <v>#DIV/0!</v>
      </c>
      <c r="AL30" s="26" t="e">
        <f t="shared" ref="AL30:AL31" si="184">(AM30/AJ30)-1</f>
        <v>#DIV/0!</v>
      </c>
      <c r="AO30" s="26" t="e">
        <f t="shared" ref="AO30:AO31" si="185">(AP30/AM30)-1</f>
        <v>#DIV/0!</v>
      </c>
      <c r="AR30" s="26" t="e">
        <f t="shared" ref="AR30:AR31" si="186">(AS30/AP30)-1</f>
        <v>#DIV/0!</v>
      </c>
      <c r="AU30" s="26" t="e">
        <f t="shared" ref="AU30:AU31" si="187">(AV30/AS30)-1</f>
        <v>#DIV/0!</v>
      </c>
      <c r="AX30" s="26" t="e">
        <f t="shared" ref="AX30:AX31" si="188">(AY30/AV30)-1</f>
        <v>#DIV/0!</v>
      </c>
      <c r="BA30" s="26" t="e">
        <f t="shared" ref="BA30:BA31" si="189">(BB30/AY30)-1</f>
        <v>#DIV/0!</v>
      </c>
      <c r="BD30" s="26" t="e">
        <f t="shared" si="128"/>
        <v>#DIV/0!</v>
      </c>
      <c r="BE30" s="3">
        <v>40</v>
      </c>
      <c r="BH30" s="26">
        <f t="shared" si="129"/>
        <v>0</v>
      </c>
      <c r="BI30" s="3">
        <v>40</v>
      </c>
      <c r="BL30" s="26">
        <f t="shared" si="130"/>
        <v>0</v>
      </c>
      <c r="BM30" s="3">
        <v>40</v>
      </c>
    </row>
    <row r="31" spans="1:70" x14ac:dyDescent="0.15">
      <c r="A31" s="2" t="s">
        <v>17</v>
      </c>
      <c r="C31" s="15">
        <f>C29+C30</f>
        <v>9312</v>
      </c>
      <c r="D31" s="16"/>
      <c r="E31" s="26">
        <f t="shared" si="181"/>
        <v>4.3814432989690788E-2</v>
      </c>
      <c r="F31" s="15">
        <f>F29+F30</f>
        <v>9720</v>
      </c>
      <c r="G31" s="16"/>
      <c r="H31" s="26">
        <f t="shared" si="182"/>
        <v>6.368312757201644E-2</v>
      </c>
      <c r="I31" s="15">
        <f>I29+I30</f>
        <v>10339</v>
      </c>
      <c r="J31" s="16"/>
      <c r="K31" s="26">
        <f t="shared" ref="K31" si="190">(L31/I31)-1</f>
        <v>6.1127768643002289E-2</v>
      </c>
      <c r="L31" s="15">
        <f>L29+L30</f>
        <v>10971</v>
      </c>
      <c r="M31" s="16"/>
      <c r="N31" s="26">
        <f t="shared" ref="N31" si="191">(O31/L31)-1</f>
        <v>0.12760915139914331</v>
      </c>
      <c r="O31" s="15">
        <f>O29+O30</f>
        <v>12371</v>
      </c>
      <c r="P31" s="16"/>
      <c r="Q31" s="26">
        <f t="shared" ref="Q31" si="192">(R31/O31)-1</f>
        <v>8.4633416862015975E-2</v>
      </c>
      <c r="R31" s="15">
        <f>R29+R30</f>
        <v>13418</v>
      </c>
      <c r="S31" s="16"/>
      <c r="T31" s="26">
        <f t="shared" ref="T31" si="193">(U31/R31)-1</f>
        <v>5.0976300491876625E-2</v>
      </c>
      <c r="U31" s="15">
        <f>U29+U30</f>
        <v>14102</v>
      </c>
      <c r="V31" s="16"/>
      <c r="W31" s="26">
        <f t="shared" ref="W31" si="194">(X31/U31)-1</f>
        <v>4.6943695929655416E-2</v>
      </c>
      <c r="X31" s="15">
        <f>X29+X30</f>
        <v>14764</v>
      </c>
      <c r="Y31" s="16"/>
      <c r="Z31" s="26">
        <f t="shared" ref="Z31" si="195">(AA31/X31)-1</f>
        <v>4.6735302086155617E-2</v>
      </c>
      <c r="AA31" s="15">
        <f>AA29+AA30</f>
        <v>15454</v>
      </c>
      <c r="AB31" s="16"/>
      <c r="AC31" s="26">
        <f t="shared" ref="AC31" si="196">(AD31/AA31)-1</f>
        <v>4.6913420473663869E-2</v>
      </c>
      <c r="AD31" s="15">
        <f>AD29+AD30</f>
        <v>16179</v>
      </c>
      <c r="AE31" s="16"/>
      <c r="AF31" s="26">
        <f t="shared" si="183"/>
        <v>5.7296495457074048E-2</v>
      </c>
      <c r="AG31" s="15">
        <f>AG29+AG30</f>
        <v>17106</v>
      </c>
      <c r="AH31" s="16"/>
      <c r="AI31" s="26">
        <f t="shared" ref="AI31" si="197">(AJ31/AG31)-1</f>
        <v>6.5474102654039523E-2</v>
      </c>
      <c r="AJ31" s="15">
        <f>AJ29+AJ30</f>
        <v>18226</v>
      </c>
      <c r="AK31" s="16"/>
      <c r="AL31" s="26">
        <f t="shared" si="184"/>
        <v>2.4854603313947177E-2</v>
      </c>
      <c r="AM31" s="15">
        <f>AM29+AM30</f>
        <v>18679</v>
      </c>
      <c r="AN31" s="16"/>
      <c r="AO31" s="26">
        <f t="shared" si="185"/>
        <v>3.6083302103967041E-2</v>
      </c>
      <c r="AP31" s="15">
        <f>AP29+AP30</f>
        <v>19353</v>
      </c>
      <c r="AQ31" s="16"/>
      <c r="AR31" s="26">
        <f t="shared" si="186"/>
        <v>4.4334211750116204E-2</v>
      </c>
      <c r="AS31" s="15">
        <f>AS29+AS30</f>
        <v>20211</v>
      </c>
      <c r="AT31" s="16"/>
      <c r="AU31" s="26">
        <f t="shared" si="187"/>
        <v>1.9840680817376777E-2</v>
      </c>
      <c r="AV31" s="15">
        <f>AV29+AV30</f>
        <v>20612</v>
      </c>
      <c r="AW31" s="16"/>
      <c r="AX31" s="26">
        <f t="shared" si="188"/>
        <v>4.6477779934019026E-2</v>
      </c>
      <c r="AY31" s="15">
        <f>AY29+AY30</f>
        <v>21570</v>
      </c>
      <c r="AZ31" s="16"/>
      <c r="BA31" s="26">
        <f t="shared" si="189"/>
        <v>4.7844228094575891E-2</v>
      </c>
      <c r="BB31" s="15">
        <f>BB29+BB30</f>
        <v>22602</v>
      </c>
      <c r="BC31" s="16"/>
      <c r="BD31" s="26">
        <f t="shared" si="128"/>
        <v>1.3804088133793524E-2</v>
      </c>
      <c r="BE31" s="15">
        <f>BE29+BE30</f>
        <v>22914</v>
      </c>
      <c r="BF31" s="20"/>
      <c r="BG31" s="16"/>
      <c r="BH31" s="26">
        <f t="shared" si="129"/>
        <v>9.1647028017804999E-3</v>
      </c>
      <c r="BI31" s="15">
        <f>BI29+BI30</f>
        <v>23124</v>
      </c>
      <c r="BK31" s="16"/>
      <c r="BL31" s="26">
        <f t="shared" si="130"/>
        <v>3.9093582425185902E-2</v>
      </c>
      <c r="BM31" s="121">
        <f>BM29+BM30</f>
        <v>24028</v>
      </c>
      <c r="BO31" s="19"/>
    </row>
    <row r="32" spans="1:70" x14ac:dyDescent="0.15">
      <c r="A32" s="2" t="s">
        <v>19</v>
      </c>
      <c r="C32" s="3">
        <v>3214</v>
      </c>
      <c r="E32" s="26">
        <f t="shared" si="111"/>
        <v>3.6714374611076517E-2</v>
      </c>
      <c r="F32" s="3">
        <v>3332</v>
      </c>
      <c r="H32" s="26">
        <f t="shared" si="112"/>
        <v>4.021608643457375E-2</v>
      </c>
      <c r="I32" s="3">
        <v>3466</v>
      </c>
      <c r="K32" s="26">
        <f t="shared" ref="K32" si="198">(L32/I32)-1</f>
        <v>4.0392383150605893E-2</v>
      </c>
      <c r="L32" s="3">
        <v>3606</v>
      </c>
      <c r="N32" s="26">
        <f t="shared" ref="N32" si="199">(O32/L32)-1</f>
        <v>4.991680532445919E-2</v>
      </c>
      <c r="O32" s="3">
        <v>3786</v>
      </c>
      <c r="Q32" s="26">
        <f t="shared" ref="Q32" si="200">(R32/O32)-1</f>
        <v>4.8071843634442724E-2</v>
      </c>
      <c r="R32" s="3">
        <v>3968</v>
      </c>
      <c r="T32" s="26">
        <f t="shared" ref="T32" si="201">(U32/R32)-1</f>
        <v>5.9979838709677491E-2</v>
      </c>
      <c r="U32" s="3">
        <v>4206</v>
      </c>
      <c r="W32" s="26">
        <f t="shared" ref="W32" si="202">(X32/U32)-1</f>
        <v>5.7536852116024662E-2</v>
      </c>
      <c r="X32" s="3">
        <v>4448</v>
      </c>
      <c r="Z32" s="26">
        <f t="shared" ref="Z32" si="203">(AA32/X32)-1</f>
        <v>5.755395683453246E-2</v>
      </c>
      <c r="AA32" s="3">
        <v>4704</v>
      </c>
      <c r="AC32" s="26">
        <f t="shared" ref="AC32" si="204">(AD32/AA32)-1</f>
        <v>5.7823129251700633E-2</v>
      </c>
      <c r="AD32" s="3">
        <v>4976</v>
      </c>
      <c r="AF32" s="26">
        <f t="shared" si="120"/>
        <v>5.7877813504823239E-2</v>
      </c>
      <c r="AG32" s="3">
        <v>5264</v>
      </c>
      <c r="AI32" s="26">
        <f t="shared" ref="AI32" si="205">(AJ32/AG32)-1</f>
        <v>5.0151975683890626E-2</v>
      </c>
      <c r="AJ32" s="3">
        <v>5528</v>
      </c>
      <c r="AL32" s="26">
        <f t="shared" si="122"/>
        <v>2.4963820549927629E-2</v>
      </c>
      <c r="AM32" s="3">
        <v>5666</v>
      </c>
      <c r="AO32" s="26">
        <f t="shared" si="123"/>
        <v>2.4708789269325848E-2</v>
      </c>
      <c r="AP32" s="3">
        <v>5806</v>
      </c>
      <c r="AR32" s="26">
        <f t="shared" si="124"/>
        <v>4.4781260764726216E-2</v>
      </c>
      <c r="AS32" s="3">
        <v>6066</v>
      </c>
      <c r="AU32" s="26">
        <f t="shared" si="125"/>
        <v>3.4948895483020159E-2</v>
      </c>
      <c r="AV32" s="3">
        <v>6278</v>
      </c>
      <c r="AX32" s="26">
        <f t="shared" si="126"/>
        <v>2.007008601465432E-2</v>
      </c>
      <c r="AY32" s="3">
        <f>$AY$18</f>
        <v>6404</v>
      </c>
      <c r="BA32" s="26">
        <f t="shared" si="127"/>
        <v>2.9356652092442204E-2</v>
      </c>
      <c r="BB32" s="3">
        <v>6592</v>
      </c>
      <c r="BD32" s="26">
        <f t="shared" si="128"/>
        <v>2.7912621359223344E-2</v>
      </c>
      <c r="BE32" s="3">
        <v>6776</v>
      </c>
      <c r="BH32" s="26">
        <f t="shared" si="129"/>
        <v>2.7302243211334121E-2</v>
      </c>
      <c r="BI32" s="3">
        <v>6961</v>
      </c>
      <c r="BL32" s="26">
        <f t="shared" si="130"/>
        <v>0</v>
      </c>
      <c r="BM32" s="119">
        <v>6961</v>
      </c>
    </row>
    <row r="33" spans="1:70" x14ac:dyDescent="0.15">
      <c r="A33" s="2" t="s">
        <v>18</v>
      </c>
      <c r="C33" s="3">
        <v>2408</v>
      </c>
      <c r="E33" s="26">
        <f t="shared" si="111"/>
        <v>2.1594684385382035E-2</v>
      </c>
      <c r="F33" s="3">
        <v>2460</v>
      </c>
      <c r="H33" s="26">
        <f t="shared" si="112"/>
        <v>2.9268292682926855E-2</v>
      </c>
      <c r="I33" s="3">
        <v>2532</v>
      </c>
      <c r="K33" s="26">
        <f t="shared" ref="K33" si="206">(L33/I33)-1</f>
        <v>4.2654028436019065E-2</v>
      </c>
      <c r="L33" s="3">
        <v>2640</v>
      </c>
      <c r="N33" s="26">
        <f t="shared" ref="N33" si="207">(O33/L33)-1</f>
        <v>9.0151515151515094E-2</v>
      </c>
      <c r="O33" s="3">
        <v>2878</v>
      </c>
      <c r="Q33" s="26">
        <f t="shared" ref="Q33" si="208">(R33/O33)-1</f>
        <v>5.0729673384294571E-2</v>
      </c>
      <c r="R33" s="3">
        <v>3024</v>
      </c>
      <c r="T33" s="26">
        <f t="shared" ref="T33" si="209">(U33/R33)-1</f>
        <v>6.0185185185185119E-2</v>
      </c>
      <c r="U33" s="3">
        <v>3206</v>
      </c>
      <c r="W33" s="26">
        <f t="shared" ref="W33" si="210">(X33/U33)-1</f>
        <v>5.9887710542732453E-2</v>
      </c>
      <c r="X33" s="3">
        <v>3398</v>
      </c>
      <c r="Z33" s="26">
        <f t="shared" ref="Z33" si="211">(AA33/X33)-1</f>
        <v>0</v>
      </c>
      <c r="AA33" s="3">
        <v>3398</v>
      </c>
      <c r="AC33" s="26">
        <f t="shared" ref="AC33" si="212">(AD33/AA33)-1</f>
        <v>5.885815185403187E-2</v>
      </c>
      <c r="AD33" s="3">
        <v>3598</v>
      </c>
      <c r="AF33" s="26">
        <f t="shared" si="120"/>
        <v>6.0033351862145645E-2</v>
      </c>
      <c r="AG33" s="3">
        <v>3814</v>
      </c>
      <c r="AI33" s="26">
        <f t="shared" ref="AI33" si="213">(AJ33/AG33)-1</f>
        <v>4.9816465652857911E-2</v>
      </c>
      <c r="AJ33" s="3">
        <v>4004</v>
      </c>
      <c r="AL33" s="26">
        <f t="shared" si="122"/>
        <v>2.4975024975024906E-2</v>
      </c>
      <c r="AM33" s="3">
        <v>4104</v>
      </c>
      <c r="AO33" s="26">
        <f t="shared" si="123"/>
        <v>2.4853801169590684E-2</v>
      </c>
      <c r="AP33" s="3">
        <v>4206</v>
      </c>
      <c r="AR33" s="26">
        <f t="shared" si="124"/>
        <v>4.5173561578697008E-2</v>
      </c>
      <c r="AS33" s="3">
        <v>4396</v>
      </c>
      <c r="AU33" s="26">
        <f t="shared" si="125"/>
        <v>3.5031847133758065E-2</v>
      </c>
      <c r="AV33" s="3">
        <v>4550</v>
      </c>
      <c r="AX33" s="26">
        <f t="shared" si="126"/>
        <v>2.9890109890109873E-2</v>
      </c>
      <c r="AY33" s="3">
        <f>$AY$19</f>
        <v>4686</v>
      </c>
      <c r="BA33" s="26">
        <f t="shared" si="127"/>
        <v>2.9876227059325577E-2</v>
      </c>
      <c r="BB33" s="3">
        <v>4826</v>
      </c>
      <c r="BD33" s="26">
        <f t="shared" si="128"/>
        <v>3.5225859925404057E-2</v>
      </c>
      <c r="BE33" s="3">
        <v>4996</v>
      </c>
      <c r="BH33" s="26">
        <f t="shared" si="129"/>
        <v>3.5228182546036768E-2</v>
      </c>
      <c r="BI33" s="3">
        <v>5172</v>
      </c>
      <c r="BL33" s="26">
        <f t="shared" si="130"/>
        <v>0</v>
      </c>
      <c r="BM33" s="119">
        <v>5172</v>
      </c>
    </row>
    <row r="34" spans="1:70" x14ac:dyDescent="0.15">
      <c r="A34" s="2" t="s">
        <v>20</v>
      </c>
      <c r="C34" s="3">
        <v>30</v>
      </c>
      <c r="E34" s="26">
        <f t="shared" si="111"/>
        <v>6.6666666666666652E-2</v>
      </c>
      <c r="F34" s="3">
        <v>32</v>
      </c>
      <c r="H34" s="26">
        <f t="shared" si="112"/>
        <v>6.25E-2</v>
      </c>
      <c r="I34" s="3">
        <v>34</v>
      </c>
      <c r="K34" s="26">
        <f t="shared" ref="K34" si="214">(L34/I34)-1</f>
        <v>0</v>
      </c>
      <c r="L34" s="3">
        <v>34</v>
      </c>
      <c r="N34" s="26">
        <f t="shared" ref="N34" si="215">(O34/L34)-1</f>
        <v>0.17647058823529416</v>
      </c>
      <c r="O34" s="3">
        <v>40</v>
      </c>
      <c r="Q34" s="26">
        <f t="shared" ref="Q34" si="216">(R34/O34)-1</f>
        <v>0.10000000000000009</v>
      </c>
      <c r="R34" s="3">
        <v>44</v>
      </c>
      <c r="T34" s="26">
        <f t="shared" ref="T34" si="217">(U34/R34)-1</f>
        <v>0</v>
      </c>
      <c r="U34" s="3">
        <v>44</v>
      </c>
      <c r="W34" s="26">
        <f t="shared" ref="W34" si="218">(X34/U34)-1</f>
        <v>0</v>
      </c>
      <c r="X34" s="3">
        <v>44</v>
      </c>
      <c r="Z34" s="26">
        <f t="shared" ref="Z34" si="219">(AA34/X34)-1</f>
        <v>0</v>
      </c>
      <c r="AA34" s="3">
        <v>44</v>
      </c>
      <c r="AC34" s="26">
        <f t="shared" ref="AC34" si="220">(AD34/AA34)-1</f>
        <v>0</v>
      </c>
      <c r="AD34" s="3">
        <v>44</v>
      </c>
      <c r="AF34" s="26">
        <f t="shared" si="120"/>
        <v>0</v>
      </c>
      <c r="AG34" s="3">
        <v>44</v>
      </c>
      <c r="AI34" s="26">
        <f t="shared" ref="AI34" si="221">(AJ34/AG34)-1</f>
        <v>0</v>
      </c>
      <c r="AJ34" s="3">
        <v>44</v>
      </c>
      <c r="AL34" s="26">
        <f t="shared" si="122"/>
        <v>0</v>
      </c>
      <c r="AM34" s="3">
        <v>44</v>
      </c>
      <c r="AO34" s="26">
        <f t="shared" si="123"/>
        <v>0</v>
      </c>
      <c r="AP34" s="3">
        <v>44</v>
      </c>
      <c r="AR34" s="26">
        <f t="shared" si="124"/>
        <v>0</v>
      </c>
      <c r="AS34" s="3">
        <v>44</v>
      </c>
      <c r="AU34" s="26">
        <f t="shared" si="125"/>
        <v>0</v>
      </c>
      <c r="AV34" s="3">
        <v>44</v>
      </c>
      <c r="AX34" s="26">
        <f t="shared" si="126"/>
        <v>0</v>
      </c>
      <c r="AY34" s="3">
        <v>44</v>
      </c>
      <c r="BA34" s="26">
        <f t="shared" si="127"/>
        <v>0</v>
      </c>
      <c r="BB34" s="3">
        <v>44</v>
      </c>
      <c r="BD34" s="26">
        <f t="shared" si="128"/>
        <v>0</v>
      </c>
      <c r="BE34" s="3">
        <v>44</v>
      </c>
      <c r="BH34" s="26">
        <f t="shared" si="129"/>
        <v>0</v>
      </c>
      <c r="BI34" s="3">
        <v>44</v>
      </c>
      <c r="BL34" s="26">
        <f t="shared" si="130"/>
        <v>0</v>
      </c>
      <c r="BM34" s="119">
        <v>44</v>
      </c>
    </row>
    <row r="35" spans="1:70" ht="14" thickBot="1" x14ac:dyDescent="0.2">
      <c r="A35" s="2" t="s">
        <v>21</v>
      </c>
      <c r="C35" s="22">
        <f>SUM(C31:C34)</f>
        <v>14964</v>
      </c>
      <c r="D35" s="16"/>
      <c r="E35" s="26">
        <f t="shared" si="111"/>
        <v>3.8759689922480689E-2</v>
      </c>
      <c r="F35" s="22">
        <f>SUM(F31:F34)</f>
        <v>15544</v>
      </c>
      <c r="G35" s="16"/>
      <c r="H35" s="26">
        <f t="shared" si="112"/>
        <v>5.3203808543489384E-2</v>
      </c>
      <c r="I35" s="22">
        <f>SUM(I31:I34)</f>
        <v>16371</v>
      </c>
      <c r="J35" s="16"/>
      <c r="K35" s="26">
        <f t="shared" ref="K35" si="222">(L35/I35)-1</f>
        <v>5.3753588662879492E-2</v>
      </c>
      <c r="L35" s="22">
        <f>SUM(L31:L34)</f>
        <v>17251</v>
      </c>
      <c r="M35" s="16"/>
      <c r="N35" s="26">
        <f t="shared" ref="N35" si="223">(O35/L35)-1</f>
        <v>0.10573300098545002</v>
      </c>
      <c r="O35" s="22">
        <f>SUM(O31:O34)</f>
        <v>19075</v>
      </c>
      <c r="P35" s="16"/>
      <c r="Q35" s="26">
        <f t="shared" ref="Q35" si="224">(R35/O35)-1</f>
        <v>7.2293577981651369E-2</v>
      </c>
      <c r="R35" s="22">
        <f>SUM(R31:R34)</f>
        <v>20454</v>
      </c>
      <c r="S35" s="16"/>
      <c r="T35" s="26">
        <f t="shared" ref="T35" si="225">(U35/R35)-1</f>
        <v>5.3974772660604353E-2</v>
      </c>
      <c r="U35" s="22">
        <f>SUM(U31:U34)</f>
        <v>21558</v>
      </c>
      <c r="V35" s="16"/>
      <c r="W35" s="26">
        <f t="shared" ref="W35" si="226">(X35/U35)-1</f>
        <v>5.0839595509787561E-2</v>
      </c>
      <c r="X35" s="22">
        <f>SUM(X31:X34)</f>
        <v>22654</v>
      </c>
      <c r="Y35" s="16"/>
      <c r="Z35" s="26">
        <f t="shared" ref="Z35" si="227">(AA35/X35)-1</f>
        <v>4.1758629822547855E-2</v>
      </c>
      <c r="AA35" s="22">
        <f>SUM(AA31:AA34)</f>
        <v>23600</v>
      </c>
      <c r="AB35" s="16"/>
      <c r="AC35" s="26">
        <f t="shared" ref="AC35" si="228">(AD35/AA35)-1</f>
        <v>5.0720338983050839E-2</v>
      </c>
      <c r="AD35" s="22">
        <f>SUM(AD31:AD34)</f>
        <v>24797</v>
      </c>
      <c r="AE35" s="16"/>
      <c r="AF35" s="26">
        <f t="shared" si="120"/>
        <v>5.7708593781505835E-2</v>
      </c>
      <c r="AG35" s="22">
        <f>SUM(AG31:AG34)</f>
        <v>26228</v>
      </c>
      <c r="AH35" s="16"/>
      <c r="AI35" s="26">
        <f t="shared" ref="AI35" si="229">(AJ35/AG35)-1</f>
        <v>6.001220070154023E-2</v>
      </c>
      <c r="AJ35" s="22">
        <f>SUM(AJ31:AJ34)</f>
        <v>27802</v>
      </c>
      <c r="AK35" s="16"/>
      <c r="AL35" s="26">
        <f t="shared" si="122"/>
        <v>2.4854327026832657E-2</v>
      </c>
      <c r="AM35" s="22">
        <f>SUM(AM31:AM34)</f>
        <v>28493</v>
      </c>
      <c r="AN35" s="16"/>
      <c r="AO35" s="26">
        <f t="shared" si="123"/>
        <v>3.214824693784446E-2</v>
      </c>
      <c r="AP35" s="22">
        <f>SUM(AP31:AP34)</f>
        <v>29409</v>
      </c>
      <c r="AQ35" s="16"/>
      <c r="AR35" s="26">
        <f t="shared" si="124"/>
        <v>4.4476180760991468E-2</v>
      </c>
      <c r="AS35" s="22">
        <f>SUM(AS31:AS34)</f>
        <v>30717</v>
      </c>
      <c r="AT35" s="16"/>
      <c r="AU35" s="26">
        <f t="shared" si="125"/>
        <v>2.496988638213371E-2</v>
      </c>
      <c r="AV35" s="22">
        <f>SUM(AV31:AV34)</f>
        <v>31484</v>
      </c>
      <c r="AW35" s="16"/>
      <c r="AX35" s="26">
        <f t="shared" si="126"/>
        <v>3.8749841189175349E-2</v>
      </c>
      <c r="AY35" s="22">
        <f>SUM(AY31:AY34)</f>
        <v>32704</v>
      </c>
      <c r="AZ35" s="16"/>
      <c r="BA35" s="26">
        <f t="shared" si="127"/>
        <v>4.1585127201565486E-2</v>
      </c>
      <c r="BB35" s="22">
        <f>SUM(BB31:BB34)</f>
        <v>34064</v>
      </c>
      <c r="BC35" s="16"/>
      <c r="BD35" s="26">
        <f t="shared" si="128"/>
        <v>1.9551432597463503E-2</v>
      </c>
      <c r="BE35" s="22">
        <f>SUM(BE31:BE34)</f>
        <v>34730</v>
      </c>
      <c r="BF35" s="20"/>
      <c r="BG35" s="16"/>
      <c r="BH35" s="26">
        <f t="shared" si="129"/>
        <v>1.6441117189749388E-2</v>
      </c>
      <c r="BI35" s="22">
        <f>SUM(BI31:BI34)</f>
        <v>35301</v>
      </c>
      <c r="BK35" s="16"/>
      <c r="BL35" s="26">
        <f t="shared" si="130"/>
        <v>2.5608339707090533E-2</v>
      </c>
      <c r="BM35" s="120">
        <f>SUM(BM31:BM34)</f>
        <v>36205</v>
      </c>
      <c r="BO35" s="19"/>
      <c r="BP35" s="22">
        <f>SUM(BP24:BP34)</f>
        <v>20126</v>
      </c>
      <c r="BQ35" s="22">
        <f>SUM(BQ24:BQ34)</f>
        <v>20272</v>
      </c>
      <c r="BR35" s="22">
        <f>SUM(BR24:BR34)</f>
        <v>21712</v>
      </c>
    </row>
    <row r="36" spans="1:70" ht="14" thickTop="1" x14ac:dyDescent="0.15"/>
    <row r="37" spans="1:70" x14ac:dyDescent="0.15">
      <c r="A37" s="12" t="s">
        <v>23</v>
      </c>
    </row>
    <row r="38" spans="1:70" x14ac:dyDescent="0.15">
      <c r="A38" s="2" t="s">
        <v>13</v>
      </c>
      <c r="C38" s="3">
        <v>3094</v>
      </c>
      <c r="E38" s="26">
        <f t="shared" ref="E38:E49" si="230">(F38/C38)-1</f>
        <v>3.8784744667097693E-2</v>
      </c>
      <c r="F38" s="3">
        <v>3214</v>
      </c>
      <c r="H38" s="26">
        <f t="shared" ref="H38:H49" si="231">(I38/F38)-1</f>
        <v>3.8892345986309973E-2</v>
      </c>
      <c r="I38" s="3">
        <v>3339</v>
      </c>
      <c r="K38" s="26">
        <f t="shared" ref="K38" si="232">(L38/I38)-1</f>
        <v>3.9233303384246687E-2</v>
      </c>
      <c r="L38" s="3">
        <v>3470</v>
      </c>
      <c r="N38" s="26">
        <f t="shared" ref="N38" si="233">(O38/L38)-1</f>
        <v>0.1446685878962537</v>
      </c>
      <c r="O38" s="3">
        <v>3972</v>
      </c>
      <c r="Q38" s="26">
        <f t="shared" ref="Q38" si="234">(R38/O38)-1</f>
        <v>8.1067472306143085E-2</v>
      </c>
      <c r="R38" s="3">
        <v>4294</v>
      </c>
      <c r="T38" s="26">
        <f t="shared" ref="T38" si="235">(U38/R38)-1</f>
        <v>6.0083837913367466E-2</v>
      </c>
      <c r="U38" s="3">
        <v>4552</v>
      </c>
      <c r="W38" s="26">
        <f t="shared" ref="W38" si="236">(X38/U38)-1</f>
        <v>5.0307557117750479E-2</v>
      </c>
      <c r="X38" s="3">
        <v>4781</v>
      </c>
      <c r="Z38" s="26">
        <f t="shared" ref="Z38" si="237">(AA38/X38)-1</f>
        <v>4.9989541936833248E-2</v>
      </c>
      <c r="AA38" s="3">
        <v>5020</v>
      </c>
      <c r="AC38" s="26">
        <f t="shared" ref="AC38" si="238">(AD38/AA38)-1</f>
        <v>5.0000000000000044E-2</v>
      </c>
      <c r="AD38" s="3">
        <v>5271</v>
      </c>
      <c r="AF38" s="26">
        <f t="shared" ref="AF38:AF49" si="239">(AG38/AD38)-1</f>
        <v>6.5073041168658641E-2</v>
      </c>
      <c r="AG38" s="3">
        <v>5614</v>
      </c>
      <c r="AI38" s="26">
        <f t="shared" ref="AI38" si="240">(AJ38/AG38)-1</f>
        <v>7.4991093694335653E-2</v>
      </c>
      <c r="AJ38" s="3">
        <v>6035</v>
      </c>
      <c r="AL38" s="26">
        <f t="shared" ref="AL38:AL49" si="241">(AM38/AJ38)-1</f>
        <v>2.5020712510356313E-2</v>
      </c>
      <c r="AM38" s="3">
        <v>6186</v>
      </c>
      <c r="AO38" s="26">
        <f t="shared" ref="AO38:AO49" si="242">(AP38/AM38)-1</f>
        <v>3.8958939540898907E-2</v>
      </c>
      <c r="AP38" s="3">
        <v>6427</v>
      </c>
      <c r="AR38" s="26">
        <f t="shared" ref="AR38:AR49" si="243">(AS38/AP38)-1</f>
        <v>5.2435039676365314E-2</v>
      </c>
      <c r="AS38" s="3">
        <v>6764</v>
      </c>
      <c r="AU38" s="26">
        <f t="shared" ref="AU38:AU49" si="244">(AV38/AS38)-1</f>
        <v>2.0106445890005986E-2</v>
      </c>
      <c r="AV38" s="3">
        <v>6900</v>
      </c>
      <c r="AX38" s="26">
        <f t="shared" ref="AX38:AX49" si="245">(AY38/AV38)-1</f>
        <v>7.9710144927536142E-2</v>
      </c>
      <c r="AY38" s="3">
        <v>7450</v>
      </c>
      <c r="BA38" s="26">
        <f t="shared" ref="BA38:BA49" si="246">(BB38/AY38)-1</f>
        <v>5.0201342281879224E-2</v>
      </c>
      <c r="BB38" s="3">
        <v>7824</v>
      </c>
      <c r="BD38" s="26">
        <f t="shared" ref="BD38:BD49" si="247">(BE38/BB38)-1</f>
        <v>0</v>
      </c>
      <c r="BE38" s="3">
        <v>7824</v>
      </c>
      <c r="BF38" s="4">
        <v>-1</v>
      </c>
      <c r="BH38" s="26">
        <f t="shared" ref="BH38:BH49" si="248">(BI38/BE38)-1</f>
        <v>0</v>
      </c>
      <c r="BI38" s="3">
        <v>7824</v>
      </c>
      <c r="BJ38" s="4">
        <v>-1</v>
      </c>
      <c r="BL38" s="26">
        <f t="shared" ref="BL38:BL49" si="249">(BM38/BI38)-1</f>
        <v>5.0000000000000044E-2</v>
      </c>
      <c r="BM38" s="119">
        <f>7824+(BI38*0.05)</f>
        <v>8215.2000000000007</v>
      </c>
      <c r="BN38" s="4">
        <v>-1</v>
      </c>
      <c r="BP38" s="3">
        <f>BE38</f>
        <v>7824</v>
      </c>
      <c r="BQ38" s="3">
        <f>BI38</f>
        <v>7824</v>
      </c>
      <c r="BR38" s="3">
        <f>BM38</f>
        <v>8215.2000000000007</v>
      </c>
    </row>
    <row r="39" spans="1:70" x14ac:dyDescent="0.15">
      <c r="A39" s="2" t="s">
        <v>14</v>
      </c>
      <c r="C39" s="3">
        <v>637</v>
      </c>
      <c r="E39" s="26">
        <f t="shared" si="230"/>
        <v>3.4536891679748827E-2</v>
      </c>
      <c r="F39" s="3">
        <v>659</v>
      </c>
      <c r="H39" s="26">
        <f t="shared" si="231"/>
        <v>3.4901365705614529E-2</v>
      </c>
      <c r="I39" s="3">
        <v>682</v>
      </c>
      <c r="K39" s="26">
        <f t="shared" ref="K39" si="250">(L39/I39)-1</f>
        <v>3.5190615835777095E-2</v>
      </c>
      <c r="L39" s="3">
        <v>706</v>
      </c>
      <c r="N39" s="26">
        <f t="shared" ref="N39" si="251">(O39/L39)-1</f>
        <v>3.6827195467422191E-2</v>
      </c>
      <c r="O39" s="3">
        <v>732</v>
      </c>
      <c r="Q39" s="26">
        <f t="shared" ref="Q39" si="252">(R39/O39)-1</f>
        <v>4.508196721311486E-2</v>
      </c>
      <c r="R39" s="3">
        <v>765</v>
      </c>
      <c r="T39" s="26">
        <f t="shared" ref="T39" si="253">(U39/R39)-1</f>
        <v>3.529411764705892E-2</v>
      </c>
      <c r="U39" s="3">
        <v>792</v>
      </c>
      <c r="W39" s="26">
        <f t="shared" ref="W39" si="254">(X39/U39)-1</f>
        <v>3.5353535353535248E-2</v>
      </c>
      <c r="X39" s="3">
        <v>820</v>
      </c>
      <c r="Z39" s="26">
        <f t="shared" ref="Z39" si="255">(AA39/X39)-1</f>
        <v>3.5365853658536617E-2</v>
      </c>
      <c r="AA39" s="3">
        <v>849</v>
      </c>
      <c r="AC39" s="26">
        <f t="shared" ref="AC39" si="256">(AD39/AA39)-1</f>
        <v>3.5335689045936425E-2</v>
      </c>
      <c r="AD39" s="3">
        <v>879</v>
      </c>
      <c r="AF39" s="26">
        <f t="shared" si="239"/>
        <v>3.5267349260523329E-2</v>
      </c>
      <c r="AG39" s="3">
        <v>910</v>
      </c>
      <c r="AI39" s="26">
        <f t="shared" ref="AI39" si="257">(AJ39/AG39)-1</f>
        <v>3.5164835164835262E-2</v>
      </c>
      <c r="AJ39" s="3">
        <v>942</v>
      </c>
      <c r="AL39" s="26">
        <f t="shared" si="241"/>
        <v>2.5477707006369421E-2</v>
      </c>
      <c r="AM39" s="3">
        <v>966</v>
      </c>
      <c r="AO39" s="26">
        <f t="shared" si="242"/>
        <v>3.5196687370600444E-2</v>
      </c>
      <c r="AP39" s="3">
        <v>1000</v>
      </c>
      <c r="AR39" s="26">
        <f t="shared" si="243"/>
        <v>3.0000000000000027E-2</v>
      </c>
      <c r="AS39" s="3">
        <v>1030</v>
      </c>
      <c r="AU39" s="26">
        <f t="shared" si="244"/>
        <v>2.0388349514563142E-2</v>
      </c>
      <c r="AV39" s="3">
        <v>1051</v>
      </c>
      <c r="AX39" s="26">
        <f t="shared" si="245"/>
        <v>-0.20076117982873454</v>
      </c>
      <c r="AY39" s="3">
        <v>840</v>
      </c>
      <c r="BA39" s="26">
        <f t="shared" si="246"/>
        <v>2.9761904761904656E-2</v>
      </c>
      <c r="BB39" s="3">
        <v>865</v>
      </c>
      <c r="BD39" s="26">
        <f t="shared" si="247"/>
        <v>3.0057803468208188E-2</v>
      </c>
      <c r="BE39" s="3">
        <v>891</v>
      </c>
      <c r="BH39" s="26">
        <f t="shared" si="248"/>
        <v>3.0303030303030276E-2</v>
      </c>
      <c r="BI39" s="3">
        <v>918</v>
      </c>
      <c r="BJ39" s="4"/>
      <c r="BL39" s="26">
        <f t="shared" si="249"/>
        <v>0</v>
      </c>
      <c r="BM39" s="119">
        <v>918</v>
      </c>
      <c r="BN39" s="4"/>
      <c r="BP39" s="4"/>
    </row>
    <row r="40" spans="1:70" x14ac:dyDescent="0.15">
      <c r="A40" s="2" t="s">
        <v>15</v>
      </c>
      <c r="C40" s="3">
        <f>850+125</f>
        <v>975</v>
      </c>
      <c r="E40" s="26">
        <f t="shared" si="230"/>
        <v>9.1282051282051357E-2</v>
      </c>
      <c r="F40" s="3">
        <f>939+125</f>
        <v>1064</v>
      </c>
      <c r="H40" s="26">
        <f t="shared" si="231"/>
        <v>0.25751879699248126</v>
      </c>
      <c r="I40" s="3">
        <f>1188+150</f>
        <v>1338</v>
      </c>
      <c r="K40" s="26">
        <f t="shared" ref="K40" si="258">(L40/I40)-1</f>
        <v>0.20328849028400597</v>
      </c>
      <c r="L40" s="3">
        <f>1410+200</f>
        <v>1610</v>
      </c>
      <c r="N40" s="26">
        <f t="shared" ref="N40" si="259">(O40/L40)-1</f>
        <v>0.15714285714285725</v>
      </c>
      <c r="O40" s="3">
        <f>1645+218</f>
        <v>1863</v>
      </c>
      <c r="Q40" s="26">
        <f t="shared" ref="Q40" si="260">(R40/O40)-1</f>
        <v>0.1460010735373054</v>
      </c>
      <c r="R40" s="3">
        <f>1917+218</f>
        <v>2135</v>
      </c>
      <c r="T40" s="26">
        <f t="shared" ref="T40" si="261">(U40/R40)-1</f>
        <v>2.9039812646370011E-2</v>
      </c>
      <c r="U40" s="3">
        <f>1974+223</f>
        <v>2197</v>
      </c>
      <c r="W40" s="26">
        <f t="shared" ref="W40" si="262">(X40/U40)-1</f>
        <v>4.4606281292671746E-2</v>
      </c>
      <c r="X40" s="3">
        <f>2072+223</f>
        <v>2295</v>
      </c>
      <c r="Z40" s="26">
        <f t="shared" ref="Z40" si="263">(AA40/X40)-1</f>
        <v>4.5315904139433538E-2</v>
      </c>
      <c r="AA40" s="3">
        <f>2176+223</f>
        <v>2399</v>
      </c>
      <c r="AC40" s="26">
        <f t="shared" ref="AC40" si="264">(AD40/AA40)-1</f>
        <v>4.5852438516048366E-2</v>
      </c>
      <c r="AD40" s="3">
        <f>2286+223</f>
        <v>2509</v>
      </c>
      <c r="AF40" s="26">
        <f t="shared" si="239"/>
        <v>4.5037863690713387E-2</v>
      </c>
      <c r="AG40" s="3">
        <v>2622</v>
      </c>
      <c r="AI40" s="26">
        <f t="shared" ref="AI40" si="265">(AJ40/AG40)-1</f>
        <v>5.1106025934401167E-2</v>
      </c>
      <c r="AJ40" s="3">
        <v>2756</v>
      </c>
      <c r="AL40" s="26">
        <f t="shared" si="241"/>
        <v>2.503628447024675E-2</v>
      </c>
      <c r="AM40" s="3">
        <v>2825</v>
      </c>
      <c r="AO40" s="26">
        <f t="shared" si="242"/>
        <v>2.5132743362831889E-2</v>
      </c>
      <c r="AP40" s="3">
        <v>2896</v>
      </c>
      <c r="AR40" s="26">
        <f t="shared" si="243"/>
        <v>4.4889502762430977E-2</v>
      </c>
      <c r="AS40" s="3">
        <v>3026</v>
      </c>
      <c r="AU40" s="26">
        <f t="shared" si="244"/>
        <v>1.9828155981493678E-2</v>
      </c>
      <c r="AV40" s="3">
        <v>3086</v>
      </c>
      <c r="AX40" s="26">
        <f t="shared" si="245"/>
        <v>8.6195722618276127E-2</v>
      </c>
      <c r="AY40" s="3">
        <v>3352</v>
      </c>
      <c r="BA40" s="26">
        <f t="shared" si="246"/>
        <v>5.0119331742243478E-2</v>
      </c>
      <c r="BB40" s="3">
        <v>3520</v>
      </c>
      <c r="BD40" s="26">
        <f t="shared" si="247"/>
        <v>4.2613636363636465E-2</v>
      </c>
      <c r="BE40" s="3">
        <v>3670</v>
      </c>
      <c r="BF40" s="4">
        <v>-2</v>
      </c>
      <c r="BH40" s="26">
        <f t="shared" si="248"/>
        <v>3.9782016348773874E-2</v>
      </c>
      <c r="BI40" s="3">
        <v>3816</v>
      </c>
      <c r="BJ40" s="4">
        <v>-3</v>
      </c>
      <c r="BL40" s="26">
        <f t="shared" si="249"/>
        <v>4.4999999999999929E-2</v>
      </c>
      <c r="BM40" s="119">
        <f>BI40+(BI40*0.045)</f>
        <v>3987.72</v>
      </c>
      <c r="BN40" s="4">
        <v>-3</v>
      </c>
      <c r="BP40" s="3">
        <f>BE40-68-125-10-223</f>
        <v>3244</v>
      </c>
      <c r="BQ40" s="3">
        <f>BI40-68-125-10-223</f>
        <v>3390</v>
      </c>
      <c r="BR40" s="3">
        <f>BM40</f>
        <v>3987.72</v>
      </c>
    </row>
    <row r="41" spans="1:70" x14ac:dyDescent="0.15">
      <c r="A41" s="2" t="s">
        <v>16</v>
      </c>
      <c r="C41" s="3">
        <v>98</v>
      </c>
      <c r="E41" s="26">
        <f t="shared" si="230"/>
        <v>4.081632653061229E-2</v>
      </c>
      <c r="F41" s="3">
        <v>102</v>
      </c>
      <c r="H41" s="26">
        <f t="shared" si="231"/>
        <v>0.17647058823529416</v>
      </c>
      <c r="I41" s="3">
        <v>120</v>
      </c>
      <c r="K41" s="26">
        <f t="shared" ref="K41" si="266">(L41/I41)-1</f>
        <v>0</v>
      </c>
      <c r="L41" s="3">
        <v>120</v>
      </c>
      <c r="N41" s="26">
        <f t="shared" ref="N41" si="267">(O41/L41)-1</f>
        <v>0</v>
      </c>
      <c r="O41" s="3">
        <v>120</v>
      </c>
      <c r="Q41" s="26">
        <f t="shared" ref="Q41" si="268">(R41/O41)-1</f>
        <v>0</v>
      </c>
      <c r="R41" s="3">
        <v>120</v>
      </c>
      <c r="T41" s="26">
        <f t="shared" ref="T41" si="269">(U41/R41)-1</f>
        <v>0</v>
      </c>
      <c r="U41" s="3">
        <v>120</v>
      </c>
      <c r="W41" s="26">
        <f t="shared" ref="W41" si="270">(X41/U41)-1</f>
        <v>0</v>
      </c>
      <c r="X41" s="3">
        <v>120</v>
      </c>
      <c r="Z41" s="26">
        <f t="shared" ref="Z41" si="271">(AA41/X41)-1</f>
        <v>0</v>
      </c>
      <c r="AA41" s="3">
        <v>120</v>
      </c>
      <c r="AC41" s="26">
        <f t="shared" ref="AC41" si="272">(AD41/AA41)-1</f>
        <v>0</v>
      </c>
      <c r="AD41" s="3">
        <v>120</v>
      </c>
      <c r="AF41" s="26">
        <f t="shared" si="239"/>
        <v>0</v>
      </c>
      <c r="AG41" s="3">
        <v>120</v>
      </c>
      <c r="AI41" s="26">
        <f t="shared" ref="AI41" si="273">(AJ41/AG41)-1</f>
        <v>0</v>
      </c>
      <c r="AJ41" s="3">
        <v>120</v>
      </c>
      <c r="AL41" s="26">
        <f t="shared" si="241"/>
        <v>0</v>
      </c>
      <c r="AM41" s="3">
        <v>120</v>
      </c>
      <c r="AO41" s="26">
        <f t="shared" si="242"/>
        <v>0</v>
      </c>
      <c r="AP41" s="3">
        <v>120</v>
      </c>
      <c r="AR41" s="26">
        <f t="shared" si="243"/>
        <v>0</v>
      </c>
      <c r="AS41" s="3">
        <v>120</v>
      </c>
      <c r="AU41" s="26">
        <f t="shared" si="244"/>
        <v>0</v>
      </c>
      <c r="AV41" s="3">
        <v>120</v>
      </c>
      <c r="AX41" s="26">
        <f t="shared" si="245"/>
        <v>0</v>
      </c>
      <c r="AY41" s="3">
        <v>120</v>
      </c>
      <c r="BA41" s="26">
        <f t="shared" si="246"/>
        <v>0</v>
      </c>
      <c r="BB41" s="3">
        <v>120</v>
      </c>
      <c r="BD41" s="26">
        <f t="shared" si="247"/>
        <v>0.5</v>
      </c>
      <c r="BE41" s="3">
        <v>180</v>
      </c>
      <c r="BH41" s="26">
        <f t="shared" si="248"/>
        <v>0</v>
      </c>
      <c r="BI41" s="3">
        <v>180</v>
      </c>
      <c r="BL41" s="26">
        <f t="shared" si="249"/>
        <v>0</v>
      </c>
      <c r="BM41" s="119">
        <v>180</v>
      </c>
    </row>
    <row r="42" spans="1:70" x14ac:dyDescent="0.15">
      <c r="A42" s="2" t="s">
        <v>28</v>
      </c>
      <c r="E42" s="26" t="e">
        <f t="shared" si="230"/>
        <v>#DIV/0!</v>
      </c>
      <c r="H42" s="26" t="e">
        <f t="shared" si="231"/>
        <v>#DIV/0!</v>
      </c>
      <c r="K42" s="26" t="e">
        <f t="shared" ref="K42" si="274">(L42/I42)-1</f>
        <v>#DIV/0!</v>
      </c>
      <c r="L42" s="3">
        <v>20</v>
      </c>
      <c r="N42" s="26">
        <f t="shared" ref="N42" si="275">(O42/L42)-1</f>
        <v>0</v>
      </c>
      <c r="O42" s="3">
        <v>20</v>
      </c>
      <c r="Q42" s="26">
        <f t="shared" ref="Q42" si="276">(R42/O42)-1</f>
        <v>0</v>
      </c>
      <c r="R42" s="3">
        <v>20</v>
      </c>
      <c r="T42" s="26">
        <f t="shared" ref="T42" si="277">(U42/R42)-1</f>
        <v>0</v>
      </c>
      <c r="U42" s="3">
        <v>20</v>
      </c>
      <c r="W42" s="26">
        <f t="shared" ref="W42" si="278">(X42/U42)-1</f>
        <v>0</v>
      </c>
      <c r="X42" s="3">
        <v>20</v>
      </c>
      <c r="Z42" s="26">
        <f t="shared" ref="Z42" si="279">(AA42/X42)-1</f>
        <v>0</v>
      </c>
      <c r="AA42" s="3">
        <v>20</v>
      </c>
      <c r="AC42" s="26">
        <f t="shared" ref="AC42" si="280">(AD42/AA42)-1</f>
        <v>0</v>
      </c>
      <c r="AD42" s="3">
        <v>20</v>
      </c>
      <c r="AF42" s="26">
        <f t="shared" si="239"/>
        <v>0</v>
      </c>
      <c r="AG42" s="3">
        <v>20</v>
      </c>
      <c r="AI42" s="26">
        <f t="shared" ref="AI42" si="281">(AJ42/AG42)-1</f>
        <v>0</v>
      </c>
      <c r="AJ42" s="3">
        <v>20</v>
      </c>
      <c r="AL42" s="26">
        <f t="shared" si="241"/>
        <v>0</v>
      </c>
      <c r="AM42" s="3">
        <v>20</v>
      </c>
      <c r="AO42" s="26">
        <f t="shared" si="242"/>
        <v>0</v>
      </c>
      <c r="AP42" s="3">
        <v>20</v>
      </c>
      <c r="AR42" s="26">
        <f t="shared" si="243"/>
        <v>0</v>
      </c>
      <c r="AS42" s="3">
        <v>20</v>
      </c>
      <c r="AU42" s="26">
        <f t="shared" si="244"/>
        <v>0</v>
      </c>
      <c r="AV42" s="3">
        <v>20</v>
      </c>
      <c r="AX42" s="26">
        <f t="shared" si="245"/>
        <v>0</v>
      </c>
      <c r="AY42" s="3">
        <v>20</v>
      </c>
      <c r="BA42" s="26">
        <f t="shared" si="246"/>
        <v>0</v>
      </c>
      <c r="BB42" s="3">
        <v>20</v>
      </c>
      <c r="BD42" s="26">
        <f t="shared" si="247"/>
        <v>0</v>
      </c>
      <c r="BE42" s="3">
        <v>20</v>
      </c>
      <c r="BH42" s="26">
        <f t="shared" si="248"/>
        <v>0</v>
      </c>
      <c r="BI42" s="3">
        <v>20</v>
      </c>
      <c r="BL42" s="26">
        <f t="shared" si="249"/>
        <v>0</v>
      </c>
      <c r="BM42" s="119">
        <v>20</v>
      </c>
    </row>
    <row r="43" spans="1:70" x14ac:dyDescent="0.15">
      <c r="A43" s="2" t="s">
        <v>57</v>
      </c>
      <c r="C43" s="15">
        <f t="shared" ref="C43:AJ43" si="282">SUM(C38:C42)</f>
        <v>4804</v>
      </c>
      <c r="D43" s="16"/>
      <c r="E43" s="26">
        <f t="shared" si="230"/>
        <v>4.8917568692756097E-2</v>
      </c>
      <c r="F43" s="15">
        <f t="shared" si="282"/>
        <v>5039</v>
      </c>
      <c r="G43" s="16"/>
      <c r="H43" s="26">
        <f t="shared" si="231"/>
        <v>8.7318912482635458E-2</v>
      </c>
      <c r="I43" s="15">
        <f t="shared" si="282"/>
        <v>5479</v>
      </c>
      <c r="J43" s="16"/>
      <c r="K43" s="26">
        <f t="shared" ref="K43:K44" si="283">(L43/I43)-1</f>
        <v>8.1584230699032645E-2</v>
      </c>
      <c r="L43" s="15">
        <f t="shared" si="282"/>
        <v>5926</v>
      </c>
      <c r="M43" s="16"/>
      <c r="N43" s="26">
        <f t="shared" ref="N43:N44" si="284">(O43/L43)-1</f>
        <v>0.13179210259871743</v>
      </c>
      <c r="O43" s="15">
        <f t="shared" si="282"/>
        <v>6707</v>
      </c>
      <c r="P43" s="16"/>
      <c r="Q43" s="26">
        <f t="shared" ref="Q43:Q44" si="285">(R43/O43)-1</f>
        <v>9.3484419263456076E-2</v>
      </c>
      <c r="R43" s="15">
        <f t="shared" si="282"/>
        <v>7334</v>
      </c>
      <c r="S43" s="16"/>
      <c r="T43" s="26">
        <f t="shared" ref="T43:T44" si="286">(U43/R43)-1</f>
        <v>4.7313880556313137E-2</v>
      </c>
      <c r="U43" s="15">
        <f t="shared" si="282"/>
        <v>7681</v>
      </c>
      <c r="V43" s="16"/>
      <c r="W43" s="26">
        <f t="shared" ref="W43:W44" si="287">(X43/U43)-1</f>
        <v>4.6217940372347277E-2</v>
      </c>
      <c r="X43" s="15">
        <f t="shared" si="282"/>
        <v>8036</v>
      </c>
      <c r="Y43" s="16"/>
      <c r="Z43" s="26">
        <f t="shared" ref="Z43:Z44" si="288">(AA43/X43)-1</f>
        <v>4.629168740666989E-2</v>
      </c>
      <c r="AA43" s="15">
        <f t="shared" si="282"/>
        <v>8408</v>
      </c>
      <c r="AB43" s="16"/>
      <c r="AC43" s="26">
        <f t="shared" ref="AC43:AC44" si="289">(AD43/AA43)-1</f>
        <v>4.6503330161750789E-2</v>
      </c>
      <c r="AD43" s="15">
        <f t="shared" si="282"/>
        <v>8799</v>
      </c>
      <c r="AE43" s="16"/>
      <c r="AF43" s="26">
        <f t="shared" si="239"/>
        <v>5.5347198545289134E-2</v>
      </c>
      <c r="AG43" s="15">
        <f t="shared" si="282"/>
        <v>9286</v>
      </c>
      <c r="AH43" s="16"/>
      <c r="AI43" s="26">
        <f t="shared" ref="AI43:AI44" si="290">(AJ43/AG43)-1</f>
        <v>6.3213439586474296E-2</v>
      </c>
      <c r="AJ43" s="15">
        <f t="shared" si="282"/>
        <v>9873</v>
      </c>
      <c r="AK43" s="16"/>
      <c r="AL43" s="26">
        <f t="shared" si="241"/>
        <v>2.4713866099463244E-2</v>
      </c>
      <c r="AM43" s="15">
        <f t="shared" ref="AM43" si="291">SUM(AM38:AM42)</f>
        <v>10117</v>
      </c>
      <c r="AN43" s="16"/>
      <c r="AO43" s="26">
        <f t="shared" si="242"/>
        <v>3.4199861619057081E-2</v>
      </c>
      <c r="AP43" s="15">
        <f t="shared" ref="AP43" si="292">SUM(AP38:AP42)</f>
        <v>10463</v>
      </c>
      <c r="AQ43" s="16"/>
      <c r="AR43" s="26">
        <f t="shared" si="243"/>
        <v>4.7500716811621935E-2</v>
      </c>
      <c r="AS43" s="15">
        <f t="shared" ref="AS43" si="293">SUM(AS38:AS42)</f>
        <v>10960</v>
      </c>
      <c r="AT43" s="16"/>
      <c r="AU43" s="26">
        <f t="shared" si="244"/>
        <v>1.9799270072992758E-2</v>
      </c>
      <c r="AV43" s="15">
        <f t="shared" ref="AV43" si="294">SUM(AV38:AV42)</f>
        <v>11177</v>
      </c>
      <c r="AW43" s="16"/>
      <c r="AX43" s="26">
        <f t="shared" si="245"/>
        <v>5.4129014941397546E-2</v>
      </c>
      <c r="AY43" s="15">
        <f t="shared" ref="AY43" si="295">SUM(AY38:AY42)</f>
        <v>11782</v>
      </c>
      <c r="AZ43" s="16"/>
      <c r="BA43" s="26">
        <f t="shared" si="246"/>
        <v>4.8124257341707777E-2</v>
      </c>
      <c r="BB43" s="15">
        <f t="shared" ref="BB43" si="296">SUM(BB38:BB42)</f>
        <v>12349</v>
      </c>
      <c r="BC43" s="16"/>
      <c r="BD43" s="26">
        <f t="shared" si="247"/>
        <v>1.911085917888089E-2</v>
      </c>
      <c r="BE43" s="15">
        <f t="shared" ref="BE43" si="297">SUM(BE38:BE42)</f>
        <v>12585</v>
      </c>
      <c r="BF43" s="20"/>
      <c r="BG43" s="16"/>
      <c r="BH43" s="26">
        <f t="shared" si="248"/>
        <v>1.3746523639253105E-2</v>
      </c>
      <c r="BI43" s="15">
        <f t="shared" ref="BI43" si="298">SUM(BI38:BI42)</f>
        <v>12758</v>
      </c>
      <c r="BK43" s="16"/>
      <c r="BL43" s="26">
        <f t="shared" si="249"/>
        <v>4.4122903276375691E-2</v>
      </c>
      <c r="BM43" s="121">
        <f t="shared" ref="BM43" si="299">SUM(BM38:BM42)</f>
        <v>13320.92</v>
      </c>
      <c r="BO43" s="19"/>
    </row>
    <row r="44" spans="1:70" x14ac:dyDescent="0.15">
      <c r="A44" s="2" t="s">
        <v>58</v>
      </c>
      <c r="E44" s="26" t="e">
        <f t="shared" ref="E44:E45" si="300">(F44/C44)-1</f>
        <v>#DIV/0!</v>
      </c>
      <c r="H44" s="26" t="e">
        <f t="shared" ref="H44:H45" si="301">(I44/F44)-1</f>
        <v>#DIV/0!</v>
      </c>
      <c r="K44" s="26" t="e">
        <f t="shared" si="283"/>
        <v>#DIV/0!</v>
      </c>
      <c r="N44" s="26" t="e">
        <f t="shared" si="284"/>
        <v>#DIV/0!</v>
      </c>
      <c r="Q44" s="26" t="e">
        <f t="shared" si="285"/>
        <v>#DIV/0!</v>
      </c>
      <c r="T44" s="26" t="e">
        <f t="shared" si="286"/>
        <v>#DIV/0!</v>
      </c>
      <c r="W44" s="26" t="e">
        <f t="shared" si="287"/>
        <v>#DIV/0!</v>
      </c>
      <c r="Z44" s="26" t="e">
        <f t="shared" si="288"/>
        <v>#DIV/0!</v>
      </c>
      <c r="AC44" s="26" t="e">
        <f t="shared" si="289"/>
        <v>#DIV/0!</v>
      </c>
      <c r="AF44" s="26" t="e">
        <f t="shared" ref="AF44:AF45" si="302">(AG44/AD44)-1</f>
        <v>#DIV/0!</v>
      </c>
      <c r="AI44" s="26" t="e">
        <f t="shared" si="290"/>
        <v>#DIV/0!</v>
      </c>
      <c r="AL44" s="26" t="e">
        <f t="shared" ref="AL44:AL45" si="303">(AM44/AJ44)-1</f>
        <v>#DIV/0!</v>
      </c>
      <c r="AO44" s="26" t="e">
        <f t="shared" ref="AO44:AO45" si="304">(AP44/AM44)-1</f>
        <v>#DIV/0!</v>
      </c>
      <c r="AR44" s="26" t="e">
        <f t="shared" ref="AR44:AR45" si="305">(AS44/AP44)-1</f>
        <v>#DIV/0!</v>
      </c>
      <c r="AU44" s="26" t="e">
        <f t="shared" ref="AU44:AU45" si="306">(AV44/AS44)-1</f>
        <v>#DIV/0!</v>
      </c>
      <c r="AX44" s="26" t="e">
        <f t="shared" ref="AX44:AX45" si="307">(AY44/AV44)-1</f>
        <v>#DIV/0!</v>
      </c>
      <c r="BA44" s="26" t="e">
        <f t="shared" ref="BA44:BA45" si="308">(BB44/AY44)-1</f>
        <v>#DIV/0!</v>
      </c>
      <c r="BD44" s="26" t="e">
        <f t="shared" si="247"/>
        <v>#DIV/0!</v>
      </c>
      <c r="BE44" s="3">
        <v>40</v>
      </c>
      <c r="BH44" s="26">
        <f t="shared" si="248"/>
        <v>0</v>
      </c>
      <c r="BI44" s="3">
        <v>40</v>
      </c>
      <c r="BL44" s="26">
        <f t="shared" si="249"/>
        <v>0</v>
      </c>
      <c r="BM44" s="119">
        <v>40</v>
      </c>
    </row>
    <row r="45" spans="1:70" x14ac:dyDescent="0.15">
      <c r="A45" s="2" t="s">
        <v>17</v>
      </c>
      <c r="C45" s="15">
        <f>C43+C44</f>
        <v>4804</v>
      </c>
      <c r="D45" s="16"/>
      <c r="E45" s="26">
        <f t="shared" si="300"/>
        <v>4.8917568692756097E-2</v>
      </c>
      <c r="F45" s="15">
        <f>F43+F44</f>
        <v>5039</v>
      </c>
      <c r="G45" s="16"/>
      <c r="H45" s="26">
        <f t="shared" si="301"/>
        <v>8.7318912482635458E-2</v>
      </c>
      <c r="I45" s="15">
        <f>I43+I44</f>
        <v>5479</v>
      </c>
      <c r="J45" s="16"/>
      <c r="K45" s="26">
        <f t="shared" ref="K45" si="309">(L45/I45)-1</f>
        <v>8.1584230699032645E-2</v>
      </c>
      <c r="L45" s="15">
        <f>L43+L44</f>
        <v>5926</v>
      </c>
      <c r="M45" s="16"/>
      <c r="N45" s="26">
        <f t="shared" ref="N45" si="310">(O45/L45)-1</f>
        <v>0.13179210259871743</v>
      </c>
      <c r="O45" s="15">
        <f>O43+O44</f>
        <v>6707</v>
      </c>
      <c r="P45" s="16"/>
      <c r="Q45" s="26">
        <f t="shared" ref="Q45" si="311">(R45/O45)-1</f>
        <v>9.3484419263456076E-2</v>
      </c>
      <c r="R45" s="15">
        <f>R43+R44</f>
        <v>7334</v>
      </c>
      <c r="S45" s="16"/>
      <c r="T45" s="26">
        <f t="shared" ref="T45" si="312">(U45/R45)-1</f>
        <v>4.7313880556313137E-2</v>
      </c>
      <c r="U45" s="15">
        <f>U43+U44</f>
        <v>7681</v>
      </c>
      <c r="V45" s="16"/>
      <c r="W45" s="26">
        <f t="shared" ref="W45" si="313">(X45/U45)-1</f>
        <v>4.6217940372347277E-2</v>
      </c>
      <c r="X45" s="15">
        <f>X43+X44</f>
        <v>8036</v>
      </c>
      <c r="Y45" s="16"/>
      <c r="Z45" s="26">
        <f t="shared" ref="Z45" si="314">(AA45/X45)-1</f>
        <v>4.629168740666989E-2</v>
      </c>
      <c r="AA45" s="15">
        <f>AA43+AA44</f>
        <v>8408</v>
      </c>
      <c r="AB45" s="16"/>
      <c r="AC45" s="26">
        <f t="shared" ref="AC45" si="315">(AD45/AA45)-1</f>
        <v>4.6503330161750789E-2</v>
      </c>
      <c r="AD45" s="15">
        <f>AD43+AD44</f>
        <v>8799</v>
      </c>
      <c r="AE45" s="16"/>
      <c r="AF45" s="26">
        <f t="shared" si="302"/>
        <v>5.5347198545289134E-2</v>
      </c>
      <c r="AG45" s="15">
        <f>AG43+AG44</f>
        <v>9286</v>
      </c>
      <c r="AH45" s="16"/>
      <c r="AI45" s="26">
        <f t="shared" ref="AI45" si="316">(AJ45/AG45)-1</f>
        <v>6.3213439586474296E-2</v>
      </c>
      <c r="AJ45" s="15">
        <f>AJ43+AJ44</f>
        <v>9873</v>
      </c>
      <c r="AK45" s="16"/>
      <c r="AL45" s="26">
        <f t="shared" si="303"/>
        <v>2.4713866099463244E-2</v>
      </c>
      <c r="AM45" s="15">
        <f>AM43+AM44</f>
        <v>10117</v>
      </c>
      <c r="AN45" s="16"/>
      <c r="AO45" s="26">
        <f t="shared" si="304"/>
        <v>3.4199861619057081E-2</v>
      </c>
      <c r="AP45" s="15">
        <f>AP43+AP44</f>
        <v>10463</v>
      </c>
      <c r="AQ45" s="16"/>
      <c r="AR45" s="26">
        <f t="shared" si="305"/>
        <v>4.7500716811621935E-2</v>
      </c>
      <c r="AS45" s="15">
        <f>AS43+AS44</f>
        <v>10960</v>
      </c>
      <c r="AT45" s="16"/>
      <c r="AU45" s="26">
        <f t="shared" si="306"/>
        <v>1.9799270072992758E-2</v>
      </c>
      <c r="AV45" s="15">
        <f>AV43+AV44</f>
        <v>11177</v>
      </c>
      <c r="AW45" s="16"/>
      <c r="AX45" s="26">
        <f t="shared" si="307"/>
        <v>5.4129014941397546E-2</v>
      </c>
      <c r="AY45" s="15">
        <f>AY43+AY44</f>
        <v>11782</v>
      </c>
      <c r="AZ45" s="16"/>
      <c r="BA45" s="26">
        <f t="shared" si="308"/>
        <v>4.8124257341707777E-2</v>
      </c>
      <c r="BB45" s="15">
        <f>BB43+BB44</f>
        <v>12349</v>
      </c>
      <c r="BC45" s="16"/>
      <c r="BD45" s="26">
        <f t="shared" si="247"/>
        <v>2.2349987853267361E-2</v>
      </c>
      <c r="BE45" s="15">
        <f>BE43+BE44</f>
        <v>12625</v>
      </c>
      <c r="BF45" s="20"/>
      <c r="BG45" s="16"/>
      <c r="BH45" s="26">
        <f t="shared" si="248"/>
        <v>1.3702970297029715E-2</v>
      </c>
      <c r="BI45" s="15">
        <f>BI43+BI44</f>
        <v>12798</v>
      </c>
      <c r="BK45" s="16"/>
      <c r="BL45" s="26">
        <f t="shared" si="249"/>
        <v>4.3984997655883706E-2</v>
      </c>
      <c r="BM45" s="121">
        <f>BM43+BM44</f>
        <v>13360.92</v>
      </c>
      <c r="BO45" s="19"/>
    </row>
    <row r="46" spans="1:70" x14ac:dyDescent="0.15">
      <c r="A46" s="2" t="s">
        <v>19</v>
      </c>
      <c r="C46" s="3">
        <v>3214</v>
      </c>
      <c r="E46" s="26">
        <f t="shared" si="230"/>
        <v>3.6714374611076517E-2</v>
      </c>
      <c r="F46" s="3">
        <v>3332</v>
      </c>
      <c r="H46" s="26">
        <f t="shared" si="231"/>
        <v>4.021608643457375E-2</v>
      </c>
      <c r="I46" s="3">
        <v>3466</v>
      </c>
      <c r="K46" s="26">
        <f t="shared" ref="K46" si="317">(L46/I46)-1</f>
        <v>4.0392383150605893E-2</v>
      </c>
      <c r="L46" s="3">
        <v>3606</v>
      </c>
      <c r="N46" s="26">
        <f t="shared" ref="N46" si="318">(O46/L46)-1</f>
        <v>4.991680532445919E-2</v>
      </c>
      <c r="O46" s="3">
        <v>3786</v>
      </c>
      <c r="Q46" s="26">
        <f t="shared" ref="Q46" si="319">(R46/O46)-1</f>
        <v>4.8071843634442724E-2</v>
      </c>
      <c r="R46" s="3">
        <v>3968</v>
      </c>
      <c r="T46" s="26">
        <f t="shared" ref="T46" si="320">(U46/R46)-1</f>
        <v>5.9979838709677491E-2</v>
      </c>
      <c r="U46" s="3">
        <v>4206</v>
      </c>
      <c r="W46" s="26">
        <f t="shared" ref="W46" si="321">(X46/U46)-1</f>
        <v>5.7536852116024662E-2</v>
      </c>
      <c r="X46" s="3">
        <v>4448</v>
      </c>
      <c r="Z46" s="26">
        <f t="shared" ref="Z46" si="322">(AA46/X46)-1</f>
        <v>5.755395683453246E-2</v>
      </c>
      <c r="AA46" s="3">
        <v>4704</v>
      </c>
      <c r="AC46" s="26">
        <f t="shared" ref="AC46" si="323">(AD46/AA46)-1</f>
        <v>5.7823129251700633E-2</v>
      </c>
      <c r="AD46" s="3">
        <v>4976</v>
      </c>
      <c r="AF46" s="26">
        <f t="shared" si="239"/>
        <v>5.7877813504823239E-2</v>
      </c>
      <c r="AG46" s="3">
        <v>5264</v>
      </c>
      <c r="AI46" s="26">
        <f t="shared" ref="AI46" si="324">(AJ46/AG46)-1</f>
        <v>5.0151975683890626E-2</v>
      </c>
      <c r="AJ46" s="3">
        <v>5528</v>
      </c>
      <c r="AL46" s="26">
        <f t="shared" si="241"/>
        <v>2.4963820549927629E-2</v>
      </c>
      <c r="AM46" s="3">
        <v>5666</v>
      </c>
      <c r="AO46" s="26">
        <f t="shared" si="242"/>
        <v>2.4708789269325848E-2</v>
      </c>
      <c r="AP46" s="3">
        <v>5806</v>
      </c>
      <c r="AR46" s="26">
        <f t="shared" si="243"/>
        <v>4.4781260764726216E-2</v>
      </c>
      <c r="AS46" s="3">
        <v>6066</v>
      </c>
      <c r="AU46" s="26">
        <f t="shared" si="244"/>
        <v>3.4948895483020159E-2</v>
      </c>
      <c r="AV46" s="3">
        <v>6278</v>
      </c>
      <c r="AX46" s="26">
        <f t="shared" si="245"/>
        <v>2.007008601465432E-2</v>
      </c>
      <c r="AY46" s="3">
        <f>$AY$18</f>
        <v>6404</v>
      </c>
      <c r="BA46" s="26">
        <f t="shared" si="246"/>
        <v>2.9356652092442204E-2</v>
      </c>
      <c r="BB46" s="3">
        <v>6592</v>
      </c>
      <c r="BD46" s="26">
        <f t="shared" si="247"/>
        <v>2.7912621359223344E-2</v>
      </c>
      <c r="BE46" s="3">
        <v>6776</v>
      </c>
      <c r="BH46" s="26">
        <f t="shared" si="248"/>
        <v>2.7302243211334121E-2</v>
      </c>
      <c r="BI46" s="3">
        <v>6961</v>
      </c>
      <c r="BL46" s="26">
        <f t="shared" si="249"/>
        <v>0</v>
      </c>
      <c r="BM46" s="119">
        <v>6961</v>
      </c>
    </row>
    <row r="47" spans="1:70" x14ac:dyDescent="0.15">
      <c r="A47" s="2" t="s">
        <v>18</v>
      </c>
      <c r="C47" s="3">
        <v>2408</v>
      </c>
      <c r="E47" s="26">
        <f t="shared" si="230"/>
        <v>2.1594684385382035E-2</v>
      </c>
      <c r="F47" s="3">
        <v>2460</v>
      </c>
      <c r="H47" s="26">
        <f t="shared" si="231"/>
        <v>2.9268292682926855E-2</v>
      </c>
      <c r="I47" s="3">
        <v>2532</v>
      </c>
      <c r="K47" s="26">
        <f t="shared" ref="K47" si="325">(L47/I47)-1</f>
        <v>4.2654028436019065E-2</v>
      </c>
      <c r="L47" s="3">
        <v>2640</v>
      </c>
      <c r="N47" s="26">
        <f t="shared" ref="N47" si="326">(O47/L47)-1</f>
        <v>9.0151515151515094E-2</v>
      </c>
      <c r="O47" s="3">
        <v>2878</v>
      </c>
      <c r="Q47" s="26">
        <f t="shared" ref="Q47" si="327">(R47/O47)-1</f>
        <v>5.0729673384294571E-2</v>
      </c>
      <c r="R47" s="3">
        <v>3024</v>
      </c>
      <c r="T47" s="26">
        <f t="shared" ref="T47" si="328">(U47/R47)-1</f>
        <v>6.0185185185185119E-2</v>
      </c>
      <c r="U47" s="3">
        <v>3206</v>
      </c>
      <c r="W47" s="26">
        <f t="shared" ref="W47" si="329">(X47/U47)-1</f>
        <v>5.9887710542732453E-2</v>
      </c>
      <c r="X47" s="3">
        <v>3398</v>
      </c>
      <c r="Z47" s="26">
        <f t="shared" ref="Z47" si="330">(AA47/X47)-1</f>
        <v>0</v>
      </c>
      <c r="AA47" s="3">
        <v>3398</v>
      </c>
      <c r="AC47" s="26">
        <f t="shared" ref="AC47" si="331">(AD47/AA47)-1</f>
        <v>5.885815185403187E-2</v>
      </c>
      <c r="AD47" s="3">
        <v>3598</v>
      </c>
      <c r="AF47" s="26">
        <f t="shared" si="239"/>
        <v>6.0033351862145645E-2</v>
      </c>
      <c r="AG47" s="3">
        <v>3814</v>
      </c>
      <c r="AI47" s="26">
        <f t="shared" ref="AI47" si="332">(AJ47/AG47)-1</f>
        <v>4.9816465652857911E-2</v>
      </c>
      <c r="AJ47" s="3">
        <v>4004</v>
      </c>
      <c r="AL47" s="26">
        <f t="shared" si="241"/>
        <v>2.4975024975024906E-2</v>
      </c>
      <c r="AM47" s="3">
        <v>4104</v>
      </c>
      <c r="AO47" s="26">
        <f t="shared" si="242"/>
        <v>2.4853801169590684E-2</v>
      </c>
      <c r="AP47" s="3">
        <v>4206</v>
      </c>
      <c r="AR47" s="26">
        <f t="shared" si="243"/>
        <v>4.5173561578697008E-2</v>
      </c>
      <c r="AS47" s="3">
        <v>4396</v>
      </c>
      <c r="AU47" s="26">
        <f t="shared" si="244"/>
        <v>3.5031847133758065E-2</v>
      </c>
      <c r="AV47" s="3">
        <v>4550</v>
      </c>
      <c r="AX47" s="26">
        <f t="shared" si="245"/>
        <v>2.9890109890109873E-2</v>
      </c>
      <c r="AY47" s="3">
        <f>$AY$19</f>
        <v>4686</v>
      </c>
      <c r="BA47" s="26">
        <f t="shared" si="246"/>
        <v>2.9876227059325577E-2</v>
      </c>
      <c r="BB47" s="3">
        <v>4826</v>
      </c>
      <c r="BD47" s="26">
        <f t="shared" si="247"/>
        <v>3.5225859925404057E-2</v>
      </c>
      <c r="BE47" s="3">
        <v>4996</v>
      </c>
      <c r="BH47" s="26">
        <f t="shared" si="248"/>
        <v>3.5228182546036768E-2</v>
      </c>
      <c r="BI47" s="3">
        <v>5172</v>
      </c>
      <c r="BL47" s="26">
        <f t="shared" si="249"/>
        <v>0</v>
      </c>
      <c r="BM47" s="119">
        <v>5172</v>
      </c>
    </row>
    <row r="48" spans="1:70" x14ac:dyDescent="0.15">
      <c r="A48" s="2" t="s">
        <v>20</v>
      </c>
      <c r="C48" s="3">
        <v>30</v>
      </c>
      <c r="E48" s="26">
        <f t="shared" si="230"/>
        <v>6.6666666666666652E-2</v>
      </c>
      <c r="F48" s="3">
        <v>32</v>
      </c>
      <c r="H48" s="26">
        <f t="shared" si="231"/>
        <v>6.25E-2</v>
      </c>
      <c r="I48" s="3">
        <v>34</v>
      </c>
      <c r="K48" s="26">
        <f t="shared" ref="K48" si="333">(L48/I48)-1</f>
        <v>0</v>
      </c>
      <c r="L48" s="3">
        <v>34</v>
      </c>
      <c r="N48" s="26">
        <f t="shared" ref="N48" si="334">(O48/L48)-1</f>
        <v>0.17647058823529416</v>
      </c>
      <c r="O48" s="3">
        <v>40</v>
      </c>
      <c r="Q48" s="26">
        <f t="shared" ref="Q48" si="335">(R48/O48)-1</f>
        <v>0.10000000000000009</v>
      </c>
      <c r="R48" s="3">
        <v>44</v>
      </c>
      <c r="T48" s="26">
        <f t="shared" ref="T48" si="336">(U48/R48)-1</f>
        <v>0</v>
      </c>
      <c r="U48" s="3">
        <v>44</v>
      </c>
      <c r="W48" s="26">
        <f t="shared" ref="W48" si="337">(X48/U48)-1</f>
        <v>0</v>
      </c>
      <c r="X48" s="3">
        <v>44</v>
      </c>
      <c r="Z48" s="26">
        <f t="shared" ref="Z48" si="338">(AA48/X48)-1</f>
        <v>0</v>
      </c>
      <c r="AA48" s="3">
        <v>44</v>
      </c>
      <c r="AC48" s="26">
        <f t="shared" ref="AC48" si="339">(AD48/AA48)-1</f>
        <v>0</v>
      </c>
      <c r="AD48" s="3">
        <v>44</v>
      </c>
      <c r="AF48" s="26">
        <f t="shared" si="239"/>
        <v>0</v>
      </c>
      <c r="AG48" s="3">
        <v>44</v>
      </c>
      <c r="AI48" s="26">
        <f t="shared" ref="AI48" si="340">(AJ48/AG48)-1</f>
        <v>0</v>
      </c>
      <c r="AJ48" s="3">
        <v>44</v>
      </c>
      <c r="AL48" s="26">
        <f t="shared" si="241"/>
        <v>0</v>
      </c>
      <c r="AM48" s="3">
        <v>44</v>
      </c>
      <c r="AO48" s="26">
        <f t="shared" si="242"/>
        <v>0</v>
      </c>
      <c r="AP48" s="3">
        <v>44</v>
      </c>
      <c r="AR48" s="26">
        <f t="shared" si="243"/>
        <v>0</v>
      </c>
      <c r="AS48" s="3">
        <v>44</v>
      </c>
      <c r="AU48" s="26">
        <f t="shared" si="244"/>
        <v>0</v>
      </c>
      <c r="AV48" s="3">
        <v>44</v>
      </c>
      <c r="AX48" s="26">
        <f t="shared" si="245"/>
        <v>0</v>
      </c>
      <c r="AY48" s="3">
        <f>$AY$20</f>
        <v>44</v>
      </c>
      <c r="BA48" s="26">
        <f t="shared" si="246"/>
        <v>0</v>
      </c>
      <c r="BB48" s="3">
        <v>44</v>
      </c>
      <c r="BD48" s="26">
        <f t="shared" si="247"/>
        <v>0</v>
      </c>
      <c r="BE48" s="3">
        <v>44</v>
      </c>
      <c r="BH48" s="26">
        <f t="shared" si="248"/>
        <v>0</v>
      </c>
      <c r="BI48" s="3">
        <v>44</v>
      </c>
      <c r="BL48" s="26">
        <f t="shared" si="249"/>
        <v>0</v>
      </c>
      <c r="BM48" s="119">
        <v>44</v>
      </c>
    </row>
    <row r="49" spans="1:70" ht="14" thickBot="1" x14ac:dyDescent="0.2">
      <c r="A49" s="2" t="s">
        <v>21</v>
      </c>
      <c r="C49" s="22">
        <f>SUM(C45:C48)</f>
        <v>10456</v>
      </c>
      <c r="D49" s="16"/>
      <c r="E49" s="26">
        <f t="shared" si="230"/>
        <v>3.8925019127773464E-2</v>
      </c>
      <c r="F49" s="22">
        <f>SUM(F45:F48)</f>
        <v>10863</v>
      </c>
      <c r="G49" s="16"/>
      <c r="H49" s="26">
        <f t="shared" si="231"/>
        <v>5.9652029826014807E-2</v>
      </c>
      <c r="I49" s="22">
        <f>SUM(I45:I48)</f>
        <v>11511</v>
      </c>
      <c r="J49" s="16"/>
      <c r="K49" s="26">
        <f t="shared" ref="K49" si="341">(L49/I49)-1</f>
        <v>6.0377030666319165E-2</v>
      </c>
      <c r="L49" s="22">
        <f>SUM(L45:L48)</f>
        <v>12206</v>
      </c>
      <c r="M49" s="16"/>
      <c r="N49" s="26">
        <f t="shared" ref="N49" si="342">(O49/L49)-1</f>
        <v>9.8721940029493638E-2</v>
      </c>
      <c r="O49" s="22">
        <f>SUM(O45:O48)</f>
        <v>13411</v>
      </c>
      <c r="P49" s="16"/>
      <c r="Q49" s="26">
        <f t="shared" ref="Q49" si="343">(R49/O49)-1</f>
        <v>7.1508463201849226E-2</v>
      </c>
      <c r="R49" s="22">
        <f>SUM(R45:R48)</f>
        <v>14370</v>
      </c>
      <c r="S49" s="16"/>
      <c r="T49" s="26">
        <f t="shared" ref="T49" si="344">(U49/R49)-1</f>
        <v>5.3375086986777953E-2</v>
      </c>
      <c r="U49" s="22">
        <f>SUM(U45:U48)</f>
        <v>15137</v>
      </c>
      <c r="V49" s="16"/>
      <c r="W49" s="26">
        <f t="shared" ref="W49" si="345">(X49/U49)-1</f>
        <v>5.2123934729470855E-2</v>
      </c>
      <c r="X49" s="22">
        <f>SUM(X45:X48)</f>
        <v>15926</v>
      </c>
      <c r="Y49" s="16"/>
      <c r="Z49" s="26">
        <f t="shared" ref="Z49" si="346">(AA49/X49)-1</f>
        <v>3.9432374733140874E-2</v>
      </c>
      <c r="AA49" s="22">
        <f>SUM(AA45:AA48)</f>
        <v>16554</v>
      </c>
      <c r="AB49" s="16"/>
      <c r="AC49" s="26">
        <f t="shared" ref="AC49" si="347">(AD49/AA49)-1</f>
        <v>5.213241512625344E-2</v>
      </c>
      <c r="AD49" s="22">
        <f>SUM(AD45:AD48)</f>
        <v>17417</v>
      </c>
      <c r="AE49" s="16"/>
      <c r="AF49" s="26">
        <f t="shared" si="239"/>
        <v>5.6898432565883894E-2</v>
      </c>
      <c r="AG49" s="22">
        <f>SUM(AG45:AG48)</f>
        <v>18408</v>
      </c>
      <c r="AH49" s="16"/>
      <c r="AI49" s="26">
        <f t="shared" ref="AI49" si="348">(AJ49/AG49)-1</f>
        <v>5.6551499348109546E-2</v>
      </c>
      <c r="AJ49" s="22">
        <f>SUM(AJ45:AJ48)</f>
        <v>19449</v>
      </c>
      <c r="AK49" s="16"/>
      <c r="AL49" s="26">
        <f t="shared" si="241"/>
        <v>2.4782765180729083E-2</v>
      </c>
      <c r="AM49" s="22">
        <f>SUM(AM45:AM48)</f>
        <v>19931</v>
      </c>
      <c r="AN49" s="16"/>
      <c r="AO49" s="26">
        <f t="shared" si="242"/>
        <v>2.9501781144950057E-2</v>
      </c>
      <c r="AP49" s="22">
        <f>SUM(AP45:AP48)</f>
        <v>20519</v>
      </c>
      <c r="AQ49" s="16"/>
      <c r="AR49" s="26">
        <f t="shared" si="243"/>
        <v>4.6152346605585093E-2</v>
      </c>
      <c r="AS49" s="22">
        <f>SUM(AS45:AS48)</f>
        <v>21466</v>
      </c>
      <c r="AT49" s="16"/>
      <c r="AU49" s="26">
        <f t="shared" si="244"/>
        <v>2.7159228547470438E-2</v>
      </c>
      <c r="AV49" s="22">
        <f>SUM(AV45:AV48)</f>
        <v>22049</v>
      </c>
      <c r="AW49" s="16"/>
      <c r="AX49" s="26">
        <f t="shared" si="245"/>
        <v>3.9321511179645441E-2</v>
      </c>
      <c r="AY49" s="22">
        <f>SUM(AY45:AY48)</f>
        <v>22916</v>
      </c>
      <c r="AZ49" s="16"/>
      <c r="BA49" s="26">
        <f t="shared" si="246"/>
        <v>3.9055681619828864E-2</v>
      </c>
      <c r="BB49" s="22">
        <f>SUM(BB45:BB48)</f>
        <v>23811</v>
      </c>
      <c r="BC49" s="16"/>
      <c r="BD49" s="26">
        <f t="shared" si="247"/>
        <v>2.6458359581705837E-2</v>
      </c>
      <c r="BE49" s="22">
        <f>SUM(BE45:BE48)</f>
        <v>24441</v>
      </c>
      <c r="BF49" s="20"/>
      <c r="BG49" s="16"/>
      <c r="BH49" s="26">
        <f t="shared" si="248"/>
        <v>2.1848533202405873E-2</v>
      </c>
      <c r="BI49" s="22">
        <f>SUM(BI45:BI48)</f>
        <v>24975</v>
      </c>
      <c r="BK49" s="16"/>
      <c r="BL49" s="26">
        <f t="shared" si="249"/>
        <v>2.2539339339339159E-2</v>
      </c>
      <c r="BM49" s="120">
        <f>SUM(BM45:BM48)</f>
        <v>25537.919999999998</v>
      </c>
      <c r="BO49" s="19"/>
      <c r="BP49" s="22">
        <f>SUM(BP38:BP48)</f>
        <v>11068</v>
      </c>
      <c r="BQ49" s="22">
        <f>SUM(BQ38:BQ48)</f>
        <v>11214</v>
      </c>
      <c r="BR49" s="22">
        <f>SUM(BR38:BR48)</f>
        <v>12202.92</v>
      </c>
    </row>
    <row r="50" spans="1:70" ht="14" thickTop="1" x14ac:dyDescent="0.15">
      <c r="BO50" s="13"/>
    </row>
    <row r="51" spans="1:70" x14ac:dyDescent="0.15">
      <c r="BO51" s="13"/>
    </row>
    <row r="52" spans="1:70" x14ac:dyDescent="0.15">
      <c r="A52" s="2" t="s">
        <v>63</v>
      </c>
      <c r="BD52" s="32"/>
      <c r="BE52" s="13"/>
      <c r="BF52" s="23"/>
      <c r="BG52" s="13"/>
      <c r="BH52" s="32"/>
      <c r="BI52" s="13"/>
      <c r="BJ52" s="24"/>
      <c r="BK52" s="13"/>
      <c r="BL52" s="32"/>
      <c r="BM52" s="13"/>
      <c r="BN52" s="24"/>
      <c r="BO52" s="13"/>
      <c r="BP52" s="24"/>
      <c r="BQ52" s="24"/>
      <c r="BR52" s="24"/>
    </row>
    <row r="53" spans="1:70" x14ac:dyDescent="0.15">
      <c r="A53" s="2" t="s">
        <v>66</v>
      </c>
      <c r="BD53" s="32"/>
      <c r="BE53" s="13"/>
      <c r="BF53" s="23"/>
      <c r="BG53" s="13"/>
      <c r="BH53" s="32"/>
      <c r="BI53" s="13"/>
      <c r="BJ53" s="24"/>
      <c r="BK53" s="13"/>
      <c r="BL53" s="32"/>
      <c r="BM53" s="13"/>
      <c r="BN53" s="24"/>
      <c r="BO53" s="13"/>
      <c r="BP53" s="24"/>
      <c r="BQ53" s="24"/>
      <c r="BR53" s="24"/>
    </row>
    <row r="54" spans="1:70" x14ac:dyDescent="0.15">
      <c r="A54" s="2" t="s">
        <v>67</v>
      </c>
      <c r="BD54" s="32"/>
      <c r="BE54" s="13"/>
      <c r="BF54" s="23"/>
      <c r="BG54" s="13"/>
      <c r="BH54" s="32"/>
      <c r="BI54" s="13"/>
      <c r="BJ54" s="24"/>
      <c r="BK54" s="13"/>
      <c r="BL54" s="32"/>
      <c r="BM54" s="13"/>
      <c r="BN54" s="24"/>
      <c r="BO54" s="13"/>
      <c r="BP54" s="24"/>
      <c r="BQ54" s="24"/>
      <c r="BR54" s="24"/>
    </row>
    <row r="55" spans="1:70" x14ac:dyDescent="0.15">
      <c r="BO55" s="13"/>
    </row>
    <row r="57" spans="1:70" x14ac:dyDescent="0.15">
      <c r="A57" s="11" t="s">
        <v>24</v>
      </c>
    </row>
    <row r="59" spans="1:70" x14ac:dyDescent="0.15">
      <c r="A59" s="12" t="s">
        <v>12</v>
      </c>
    </row>
    <row r="60" spans="1:70" x14ac:dyDescent="0.15">
      <c r="A60" s="2" t="s">
        <v>13</v>
      </c>
      <c r="C60" s="3">
        <v>2568</v>
      </c>
      <c r="E60" s="26">
        <f t="shared" ref="E60:E69" si="349">(F60/C60)-1</f>
        <v>3.8940809968847301E-2</v>
      </c>
      <c r="F60" s="3">
        <v>2668</v>
      </c>
      <c r="H60" s="26">
        <f t="shared" ref="H60:H69" si="350">(I60/F60)-1</f>
        <v>3.8980509745127456E-2</v>
      </c>
      <c r="I60" s="3">
        <v>2772</v>
      </c>
      <c r="K60" s="26">
        <f t="shared" ref="K60" si="351">(L60/I60)-1</f>
        <v>3.8961038961038863E-2</v>
      </c>
      <c r="L60" s="3">
        <v>2880</v>
      </c>
      <c r="N60" s="26">
        <f t="shared" ref="N60" si="352">(O60/L60)-1</f>
        <v>0.14513888888888893</v>
      </c>
      <c r="O60" s="3">
        <v>3298</v>
      </c>
      <c r="Q60" s="26">
        <f t="shared" ref="Q60" si="353">(R60/O60)-1</f>
        <v>8.1261370527592414E-2</v>
      </c>
      <c r="R60" s="3">
        <v>3566</v>
      </c>
      <c r="T60" s="26">
        <f t="shared" ref="T60" si="354">(U60/R60)-1</f>
        <v>6.0011217049915855E-2</v>
      </c>
      <c r="U60" s="3">
        <v>3780</v>
      </c>
      <c r="W60" s="26">
        <f t="shared" ref="W60" si="355">(X60/U60)-1</f>
        <v>5.0264550264550234E-2</v>
      </c>
      <c r="X60" s="3">
        <v>3970</v>
      </c>
      <c r="Z60" s="26">
        <f t="shared" ref="Z60" si="356">(AA60/X60)-1</f>
        <v>5.0125944584382909E-2</v>
      </c>
      <c r="AA60" s="3">
        <v>4169</v>
      </c>
      <c r="AC60" s="26">
        <f t="shared" ref="AC60" si="357">(AD60/AA60)-1</f>
        <v>4.9892060446150133E-2</v>
      </c>
      <c r="AD60" s="3">
        <v>4377</v>
      </c>
      <c r="AF60" s="26">
        <f t="shared" ref="AF60:AF69" si="358">(AG60/AD60)-1</f>
        <v>6.511309115832753E-2</v>
      </c>
      <c r="AG60" s="3">
        <v>4662</v>
      </c>
      <c r="AI60" s="26">
        <f t="shared" ref="AI60" si="359">(AJ60/AG60)-1</f>
        <v>7.5075075075075048E-2</v>
      </c>
      <c r="AJ60" s="3">
        <v>5012</v>
      </c>
      <c r="AL60" s="26">
        <f t="shared" ref="AL60:AL69" si="360">(AM60/AJ60)-1</f>
        <v>2.4940143655227454E-2</v>
      </c>
      <c r="AM60" s="3">
        <v>5137</v>
      </c>
      <c r="AO60" s="26">
        <f t="shared" ref="AO60:AO69" si="361">(AP60/AM60)-1</f>
        <v>3.8933229511388001E-2</v>
      </c>
      <c r="AP60" s="3">
        <v>5337</v>
      </c>
      <c r="AR60" s="26">
        <f t="shared" ref="AR60:AR69" si="362">(AS60/AP60)-1</f>
        <v>5.2463931047404877E-2</v>
      </c>
      <c r="AS60" s="3">
        <v>5617</v>
      </c>
      <c r="AU60" s="26">
        <f t="shared" ref="AU60:AU69" si="363">(AV60/AS60)-1</f>
        <v>2.0117500445077541E-2</v>
      </c>
      <c r="AV60" s="3">
        <v>5730</v>
      </c>
      <c r="AX60" s="26">
        <f t="shared" ref="AX60:AX69" si="364">(AY60/AV60)-1</f>
        <v>7.9930191972076736E-2</v>
      </c>
      <c r="AY60" s="3">
        <v>6188</v>
      </c>
      <c r="BA60" s="26">
        <f t="shared" ref="BA60:BA69" si="365">(BB60/AY60)-1</f>
        <v>4.9935358758888215E-2</v>
      </c>
      <c r="BB60" s="3">
        <v>6497</v>
      </c>
      <c r="BD60" s="26">
        <f t="shared" ref="BD60:BD69" si="366">(BE60/BB60)-1</f>
        <v>4.0018470063106104E-2</v>
      </c>
      <c r="BE60" s="3">
        <v>6757</v>
      </c>
      <c r="BF60" s="4">
        <v>-1</v>
      </c>
      <c r="BH60" s="26">
        <f t="shared" ref="BH60:BH69" si="367">(BI60/BE60)-1</f>
        <v>3.9958561491786337E-2</v>
      </c>
      <c r="BI60" s="3">
        <v>7027</v>
      </c>
      <c r="BJ60" s="4">
        <v>-1</v>
      </c>
      <c r="BL60" s="26">
        <f t="shared" ref="BL60:BL69" si="368">(BM60/BI60)-1</f>
        <v>0</v>
      </c>
      <c r="BM60" s="3">
        <v>7027</v>
      </c>
      <c r="BN60" s="4">
        <v>-1</v>
      </c>
      <c r="BP60" s="3">
        <f>BE60</f>
        <v>6757</v>
      </c>
      <c r="BQ60" s="3">
        <f>BI60</f>
        <v>7027</v>
      </c>
      <c r="BR60" s="3">
        <f>BJ60</f>
        <v>-1</v>
      </c>
    </row>
    <row r="61" spans="1:70" x14ac:dyDescent="0.15">
      <c r="A61" s="2" t="s">
        <v>14</v>
      </c>
      <c r="C61" s="3">
        <v>637</v>
      </c>
      <c r="E61" s="26">
        <f t="shared" si="349"/>
        <v>3.4536891679748827E-2</v>
      </c>
      <c r="F61" s="3">
        <v>659</v>
      </c>
      <c r="H61" s="26">
        <f t="shared" si="350"/>
        <v>3.4901365705614529E-2</v>
      </c>
      <c r="I61" s="3">
        <v>682</v>
      </c>
      <c r="K61" s="26">
        <f t="shared" ref="K61" si="369">(L61/I61)-1</f>
        <v>3.5190615835777095E-2</v>
      </c>
      <c r="L61" s="3">
        <v>706</v>
      </c>
      <c r="N61" s="26">
        <f t="shared" ref="N61" si="370">(O61/L61)-1</f>
        <v>3.6827195467422191E-2</v>
      </c>
      <c r="O61" s="3">
        <v>732</v>
      </c>
      <c r="Q61" s="26">
        <f t="shared" ref="Q61" si="371">(R61/O61)-1</f>
        <v>4.508196721311486E-2</v>
      </c>
      <c r="R61" s="3">
        <v>765</v>
      </c>
      <c r="T61" s="26">
        <f t="shared" ref="T61" si="372">(U61/R61)-1</f>
        <v>3.529411764705892E-2</v>
      </c>
      <c r="U61" s="3">
        <v>792</v>
      </c>
      <c r="W61" s="26">
        <f t="shared" ref="W61" si="373">(X61/U61)-1</f>
        <v>3.5353535353535248E-2</v>
      </c>
      <c r="X61" s="3">
        <v>820</v>
      </c>
      <c r="Z61" s="26">
        <f t="shared" ref="Z61" si="374">(AA61/X61)-1</f>
        <v>3.5365853658536617E-2</v>
      </c>
      <c r="AA61" s="3">
        <v>849</v>
      </c>
      <c r="AC61" s="26">
        <f t="shared" ref="AC61" si="375">(AD61/AA61)-1</f>
        <v>3.5335689045936425E-2</v>
      </c>
      <c r="AD61" s="3">
        <v>879</v>
      </c>
      <c r="AF61" s="26">
        <f t="shared" si="358"/>
        <v>3.5267349260523329E-2</v>
      </c>
      <c r="AG61" s="3">
        <v>910</v>
      </c>
      <c r="AI61" s="26">
        <f t="shared" ref="AI61" si="376">(AJ61/AG61)-1</f>
        <v>3.5164835164835262E-2</v>
      </c>
      <c r="AJ61" s="3">
        <v>942</v>
      </c>
      <c r="AL61" s="26">
        <f t="shared" si="360"/>
        <v>2.5477707006369421E-2</v>
      </c>
      <c r="AM61" s="3">
        <v>966</v>
      </c>
      <c r="AO61" s="26">
        <f t="shared" si="361"/>
        <v>3.5196687370600444E-2</v>
      </c>
      <c r="AP61" s="3">
        <v>1000</v>
      </c>
      <c r="AR61" s="26">
        <f t="shared" si="362"/>
        <v>3.0000000000000027E-2</v>
      </c>
      <c r="AS61" s="3">
        <v>1030</v>
      </c>
      <c r="AU61" s="26">
        <f t="shared" si="363"/>
        <v>2.0388349514563142E-2</v>
      </c>
      <c r="AV61" s="3">
        <v>1051</v>
      </c>
      <c r="AX61" s="26">
        <f t="shared" si="364"/>
        <v>-0.20076117982873454</v>
      </c>
      <c r="AY61" s="3">
        <v>840</v>
      </c>
      <c r="BA61" s="26">
        <f t="shared" si="365"/>
        <v>2.9761904761904656E-2</v>
      </c>
      <c r="BB61" s="3">
        <v>865</v>
      </c>
      <c r="BD61" s="26">
        <f t="shared" si="366"/>
        <v>3.0057803468208188E-2</v>
      </c>
      <c r="BE61" s="3">
        <v>891</v>
      </c>
      <c r="BH61" s="26">
        <f t="shared" si="367"/>
        <v>3.0303030303030276E-2</v>
      </c>
      <c r="BI61" s="3">
        <v>918</v>
      </c>
      <c r="BJ61" s="4"/>
      <c r="BL61" s="26">
        <f t="shared" si="368"/>
        <v>0</v>
      </c>
      <c r="BM61" s="3">
        <v>918</v>
      </c>
      <c r="BN61" s="4"/>
      <c r="BP61" s="4"/>
    </row>
    <row r="62" spans="1:70" x14ac:dyDescent="0.15">
      <c r="A62" s="2" t="s">
        <v>15</v>
      </c>
      <c r="C62" s="3">
        <f>850+125</f>
        <v>975</v>
      </c>
      <c r="E62" s="26">
        <f t="shared" si="349"/>
        <v>9.1282051282051357E-2</v>
      </c>
      <c r="F62" s="3">
        <f>939+125</f>
        <v>1064</v>
      </c>
      <c r="H62" s="26">
        <f t="shared" si="350"/>
        <v>0.25751879699248126</v>
      </c>
      <c r="I62" s="3">
        <f>1188+150</f>
        <v>1338</v>
      </c>
      <c r="K62" s="26">
        <f t="shared" ref="K62" si="377">(L62/I62)-1</f>
        <v>0.20328849028400597</v>
      </c>
      <c r="L62" s="3">
        <f>1410+200</f>
        <v>1610</v>
      </c>
      <c r="N62" s="26">
        <f t="shared" ref="N62" si="378">(O62/L62)-1</f>
        <v>0.15714285714285725</v>
      </c>
      <c r="O62" s="3">
        <f>1645+218</f>
        <v>1863</v>
      </c>
      <c r="Q62" s="26">
        <f t="shared" ref="Q62" si="379">(R62/O62)-1</f>
        <v>0.1460010735373054</v>
      </c>
      <c r="R62" s="3">
        <f>1917+218</f>
        <v>2135</v>
      </c>
      <c r="T62" s="26">
        <f t="shared" ref="T62" si="380">(U62/R62)-1</f>
        <v>2.9039812646370011E-2</v>
      </c>
      <c r="U62" s="3">
        <f>1974+223</f>
        <v>2197</v>
      </c>
      <c r="W62" s="26">
        <f t="shared" ref="W62" si="381">(X62/U62)-1</f>
        <v>4.4606281292671746E-2</v>
      </c>
      <c r="X62" s="3">
        <f>2072+223</f>
        <v>2295</v>
      </c>
      <c r="Z62" s="26">
        <f t="shared" ref="Z62" si="382">(AA62/X62)-1</f>
        <v>4.5315904139433538E-2</v>
      </c>
      <c r="AA62" s="3">
        <f>2176+223</f>
        <v>2399</v>
      </c>
      <c r="AC62" s="26">
        <f t="shared" ref="AC62" si="383">(AD62/AA62)-1</f>
        <v>4.5852438516048366E-2</v>
      </c>
      <c r="AD62" s="3">
        <f>2286+223</f>
        <v>2509</v>
      </c>
      <c r="AF62" s="26">
        <f t="shared" si="358"/>
        <v>4.5037863690713387E-2</v>
      </c>
      <c r="AG62" s="3">
        <v>2622</v>
      </c>
      <c r="AI62" s="26">
        <f t="shared" ref="AI62" si="384">(AJ62/AG62)-1</f>
        <v>5.1106025934401167E-2</v>
      </c>
      <c r="AJ62" s="3">
        <v>2756</v>
      </c>
      <c r="AL62" s="26">
        <f t="shared" si="360"/>
        <v>2.503628447024675E-2</v>
      </c>
      <c r="AM62" s="3">
        <v>2825</v>
      </c>
      <c r="AO62" s="26">
        <f t="shared" si="361"/>
        <v>2.5132743362831889E-2</v>
      </c>
      <c r="AP62" s="3">
        <v>2896</v>
      </c>
      <c r="AR62" s="26">
        <f t="shared" si="362"/>
        <v>4.4889502762430977E-2</v>
      </c>
      <c r="AS62" s="3">
        <v>3026</v>
      </c>
      <c r="AU62" s="26">
        <f t="shared" si="363"/>
        <v>1.9828155981493678E-2</v>
      </c>
      <c r="AV62" s="3">
        <v>3086</v>
      </c>
      <c r="AX62" s="26">
        <f t="shared" si="364"/>
        <v>8.6195722618276127E-2</v>
      </c>
      <c r="AY62" s="3">
        <v>3352</v>
      </c>
      <c r="BA62" s="26">
        <f t="shared" si="365"/>
        <v>5.0119331742243478E-2</v>
      </c>
      <c r="BB62" s="3">
        <v>3520</v>
      </c>
      <c r="BD62" s="26">
        <f t="shared" si="366"/>
        <v>4.2613636363636465E-2</v>
      </c>
      <c r="BE62" s="3">
        <v>3670</v>
      </c>
      <c r="BF62" s="4">
        <v>-2</v>
      </c>
      <c r="BH62" s="26">
        <f t="shared" si="367"/>
        <v>3.9782016348773874E-2</v>
      </c>
      <c r="BI62" s="3">
        <v>3816</v>
      </c>
      <c r="BJ62" s="4">
        <v>-3</v>
      </c>
      <c r="BL62" s="26">
        <f t="shared" si="368"/>
        <v>0</v>
      </c>
      <c r="BM62" s="3">
        <v>3816</v>
      </c>
      <c r="BN62" s="4">
        <v>-3</v>
      </c>
      <c r="BP62" s="3">
        <f>BE62-68-10-125-223</f>
        <v>3244</v>
      </c>
      <c r="BQ62" s="3">
        <f>BI62-68-125-10-223</f>
        <v>3390</v>
      </c>
      <c r="BR62" s="3">
        <f>BJ62-68-125-10-223</f>
        <v>-429</v>
      </c>
    </row>
    <row r="63" spans="1:70" x14ac:dyDescent="0.15">
      <c r="A63" s="2" t="s">
        <v>16</v>
      </c>
      <c r="C63" s="3">
        <v>60</v>
      </c>
      <c r="E63" s="26">
        <f t="shared" si="349"/>
        <v>0.10000000000000009</v>
      </c>
      <c r="F63" s="3">
        <v>66</v>
      </c>
      <c r="H63" s="26">
        <f t="shared" si="350"/>
        <v>0.1212121212121211</v>
      </c>
      <c r="I63" s="3">
        <v>74</v>
      </c>
      <c r="K63" s="26">
        <f t="shared" ref="K63" si="385">(L63/I63)-1</f>
        <v>0</v>
      </c>
      <c r="L63" s="3">
        <v>74</v>
      </c>
      <c r="N63" s="26">
        <f t="shared" ref="N63" si="386">(O63/L63)-1</f>
        <v>0</v>
      </c>
      <c r="O63" s="3">
        <v>74</v>
      </c>
      <c r="Q63" s="26">
        <f t="shared" ref="Q63" si="387">(R63/O63)-1</f>
        <v>0</v>
      </c>
      <c r="R63" s="3">
        <v>74</v>
      </c>
      <c r="T63" s="26">
        <f t="shared" ref="T63" si="388">(U63/R63)-1</f>
        <v>0</v>
      </c>
      <c r="U63" s="3">
        <v>74</v>
      </c>
      <c r="W63" s="26">
        <f t="shared" ref="W63" si="389">(X63/U63)-1</f>
        <v>0</v>
      </c>
      <c r="X63" s="3">
        <v>74</v>
      </c>
      <c r="Z63" s="26">
        <f t="shared" ref="Z63" si="390">(AA63/X63)-1</f>
        <v>0</v>
      </c>
      <c r="AA63" s="3">
        <v>74</v>
      </c>
      <c r="AC63" s="26">
        <f t="shared" ref="AC63" si="391">(AD63/AA63)-1</f>
        <v>0</v>
      </c>
      <c r="AD63" s="3">
        <v>74</v>
      </c>
      <c r="AF63" s="26">
        <f t="shared" si="358"/>
        <v>0</v>
      </c>
      <c r="AG63" s="3">
        <v>74</v>
      </c>
      <c r="AI63" s="26">
        <f t="shared" ref="AI63" si="392">(AJ63/AG63)-1</f>
        <v>0</v>
      </c>
      <c r="AJ63" s="3">
        <v>74</v>
      </c>
      <c r="AL63" s="26">
        <f t="shared" si="360"/>
        <v>0</v>
      </c>
      <c r="AM63" s="3">
        <v>74</v>
      </c>
      <c r="AO63" s="26">
        <f t="shared" si="361"/>
        <v>0</v>
      </c>
      <c r="AP63" s="3">
        <v>74</v>
      </c>
      <c r="AR63" s="26">
        <f t="shared" si="362"/>
        <v>0</v>
      </c>
      <c r="AS63" s="3">
        <v>74</v>
      </c>
      <c r="AU63" s="26">
        <f t="shared" si="363"/>
        <v>0</v>
      </c>
      <c r="AV63" s="3">
        <v>74</v>
      </c>
      <c r="AX63" s="26">
        <f t="shared" si="364"/>
        <v>0</v>
      </c>
      <c r="AY63" s="3">
        <v>74</v>
      </c>
      <c r="BA63" s="26">
        <f t="shared" si="365"/>
        <v>0</v>
      </c>
      <c r="BB63" s="3">
        <v>74</v>
      </c>
      <c r="BD63" s="26">
        <f t="shared" si="366"/>
        <v>0</v>
      </c>
      <c r="BE63" s="3">
        <v>74</v>
      </c>
      <c r="BH63" s="26">
        <f t="shared" si="367"/>
        <v>0</v>
      </c>
      <c r="BI63" s="3">
        <v>74</v>
      </c>
      <c r="BL63" s="26">
        <f t="shared" si="368"/>
        <v>0</v>
      </c>
      <c r="BM63" s="3">
        <v>74</v>
      </c>
    </row>
    <row r="64" spans="1:70" x14ac:dyDescent="0.15">
      <c r="A64" s="2" t="s">
        <v>28</v>
      </c>
      <c r="E64" s="26" t="e">
        <f t="shared" si="349"/>
        <v>#DIV/0!</v>
      </c>
      <c r="H64" s="26" t="e">
        <f t="shared" si="350"/>
        <v>#DIV/0!</v>
      </c>
      <c r="K64" s="26" t="e">
        <f t="shared" ref="K64" si="393">(L64/I64)-1</f>
        <v>#DIV/0!</v>
      </c>
      <c r="L64" s="3">
        <v>0</v>
      </c>
      <c r="N64" s="26" t="e">
        <f t="shared" ref="N64" si="394">(O64/L64)-1</f>
        <v>#DIV/0!</v>
      </c>
      <c r="O64" s="3">
        <v>0</v>
      </c>
      <c r="Q64" s="26" t="e">
        <f t="shared" ref="Q64" si="395">(R64/O64)-1</f>
        <v>#DIV/0!</v>
      </c>
      <c r="R64" s="3">
        <v>0</v>
      </c>
      <c r="T64" s="26" t="e">
        <f t="shared" ref="T64" si="396">(U64/R64)-1</f>
        <v>#DIV/0!</v>
      </c>
      <c r="U64" s="3">
        <v>0</v>
      </c>
      <c r="W64" s="26" t="e">
        <f t="shared" ref="W64" si="397">(X64/U64)-1</f>
        <v>#DIV/0!</v>
      </c>
      <c r="X64" s="3">
        <v>0</v>
      </c>
      <c r="Z64" s="26" t="e">
        <f t="shared" ref="Z64" si="398">(AA64/X64)-1</f>
        <v>#DIV/0!</v>
      </c>
      <c r="AA64" s="3">
        <v>0</v>
      </c>
      <c r="AC64" s="26" t="e">
        <f t="shared" ref="AC64" si="399">(AD64/AA64)-1</f>
        <v>#DIV/0!</v>
      </c>
      <c r="AD64" s="3">
        <v>0</v>
      </c>
      <c r="AF64" s="26" t="e">
        <f t="shared" si="358"/>
        <v>#DIV/0!</v>
      </c>
      <c r="AG64" s="3">
        <v>0</v>
      </c>
      <c r="AI64" s="26" t="e">
        <f t="shared" ref="AI64" si="400">(AJ64/AG64)-1</f>
        <v>#DIV/0!</v>
      </c>
      <c r="AJ64" s="3">
        <v>0</v>
      </c>
      <c r="AL64" s="26" t="e">
        <f t="shared" si="360"/>
        <v>#DIV/0!</v>
      </c>
      <c r="AM64" s="3">
        <v>0</v>
      </c>
      <c r="AO64" s="26" t="e">
        <f t="shared" si="361"/>
        <v>#DIV/0!</v>
      </c>
      <c r="AP64" s="3">
        <v>0</v>
      </c>
      <c r="AR64" s="26" t="e">
        <f t="shared" si="362"/>
        <v>#DIV/0!</v>
      </c>
      <c r="AS64" s="3">
        <v>0</v>
      </c>
      <c r="AU64" s="26" t="e">
        <f t="shared" si="363"/>
        <v>#DIV/0!</v>
      </c>
      <c r="AV64" s="3">
        <v>0</v>
      </c>
      <c r="AX64" s="26" t="e">
        <f t="shared" si="364"/>
        <v>#DIV/0!</v>
      </c>
      <c r="AY64" s="3">
        <v>0</v>
      </c>
      <c r="BA64" s="26" t="e">
        <f t="shared" si="365"/>
        <v>#DIV/0!</v>
      </c>
      <c r="BB64" s="3">
        <v>0</v>
      </c>
      <c r="BD64" s="26" t="e">
        <f t="shared" si="366"/>
        <v>#DIV/0!</v>
      </c>
      <c r="BE64" s="3">
        <v>0</v>
      </c>
      <c r="BH64" s="26" t="e">
        <f t="shared" si="367"/>
        <v>#DIV/0!</v>
      </c>
      <c r="BI64" s="3">
        <v>0</v>
      </c>
      <c r="BL64" s="26" t="e">
        <f t="shared" si="368"/>
        <v>#DIV/0!</v>
      </c>
      <c r="BM64" s="3">
        <v>0</v>
      </c>
    </row>
    <row r="65" spans="1:70" x14ac:dyDescent="0.15">
      <c r="A65" s="2" t="s">
        <v>17</v>
      </c>
      <c r="C65" s="15">
        <f t="shared" ref="C65:AJ65" si="401">SUM(C60:C64)</f>
        <v>4240</v>
      </c>
      <c r="D65" s="16"/>
      <c r="E65" s="26">
        <f t="shared" si="349"/>
        <v>5.117924528301887E-2</v>
      </c>
      <c r="F65" s="15">
        <f t="shared" si="401"/>
        <v>4457</v>
      </c>
      <c r="G65" s="16"/>
      <c r="H65" s="26">
        <f t="shared" si="350"/>
        <v>9.1765761723132222E-2</v>
      </c>
      <c r="I65" s="15">
        <f t="shared" si="401"/>
        <v>4866</v>
      </c>
      <c r="J65" s="16"/>
      <c r="K65" s="26">
        <f t="shared" ref="K65" si="402">(L65/I65)-1</f>
        <v>8.3025071927661287E-2</v>
      </c>
      <c r="L65" s="15">
        <f t="shared" si="401"/>
        <v>5270</v>
      </c>
      <c r="M65" s="16"/>
      <c r="N65" s="26">
        <f t="shared" ref="N65" si="403">(O65/L65)-1</f>
        <v>0.13225806451612909</v>
      </c>
      <c r="O65" s="15">
        <f t="shared" si="401"/>
        <v>5967</v>
      </c>
      <c r="P65" s="16"/>
      <c r="Q65" s="26">
        <f t="shared" ref="Q65" si="404">(R65/O65)-1</f>
        <v>9.6028154851684366E-2</v>
      </c>
      <c r="R65" s="15">
        <f t="shared" si="401"/>
        <v>6540</v>
      </c>
      <c r="S65" s="16"/>
      <c r="T65" s="26">
        <f t="shared" ref="T65" si="405">(U65/R65)-1</f>
        <v>4.6330275229357731E-2</v>
      </c>
      <c r="U65" s="15">
        <f t="shared" si="401"/>
        <v>6843</v>
      </c>
      <c r="V65" s="16"/>
      <c r="W65" s="26">
        <f t="shared" ref="W65" si="406">(X65/U65)-1</f>
        <v>4.6178576647669223E-2</v>
      </c>
      <c r="X65" s="15">
        <f t="shared" si="401"/>
        <v>7159</v>
      </c>
      <c r="Y65" s="16"/>
      <c r="Z65" s="26">
        <f t="shared" ref="Z65" si="407">(AA65/X65)-1</f>
        <v>4.6375192065930992E-2</v>
      </c>
      <c r="AA65" s="15">
        <f t="shared" si="401"/>
        <v>7491</v>
      </c>
      <c r="AB65" s="16"/>
      <c r="AC65" s="26">
        <f t="shared" ref="AC65" si="408">(AD65/AA65)-1</f>
        <v>4.6455746896275629E-2</v>
      </c>
      <c r="AD65" s="15">
        <f t="shared" si="401"/>
        <v>7839</v>
      </c>
      <c r="AE65" s="16"/>
      <c r="AF65" s="26">
        <f t="shared" si="358"/>
        <v>5.4726368159204064E-2</v>
      </c>
      <c r="AG65" s="15">
        <f t="shared" si="401"/>
        <v>8268</v>
      </c>
      <c r="AH65" s="16"/>
      <c r="AI65" s="26">
        <f t="shared" ref="AI65" si="409">(AJ65/AG65)-1</f>
        <v>6.2409288824383236E-2</v>
      </c>
      <c r="AJ65" s="15">
        <f t="shared" si="401"/>
        <v>8784</v>
      </c>
      <c r="AK65" s="16"/>
      <c r="AL65" s="26">
        <f t="shared" si="360"/>
        <v>2.4817850637522731E-2</v>
      </c>
      <c r="AM65" s="15">
        <f t="shared" ref="AM65" si="410">SUM(AM60:AM64)</f>
        <v>9002</v>
      </c>
      <c r="AN65" s="16"/>
      <c r="AO65" s="26">
        <f t="shared" si="361"/>
        <v>3.3881359697844893E-2</v>
      </c>
      <c r="AP65" s="15">
        <f t="shared" ref="AP65" si="411">SUM(AP60:AP64)</f>
        <v>9307</v>
      </c>
      <c r="AQ65" s="16"/>
      <c r="AR65" s="26">
        <f t="shared" si="362"/>
        <v>4.7276243687546904E-2</v>
      </c>
      <c r="AS65" s="15">
        <f t="shared" ref="AS65" si="412">SUM(AS60:AS64)</f>
        <v>9747</v>
      </c>
      <c r="AT65" s="16"/>
      <c r="AU65" s="26">
        <f t="shared" si="363"/>
        <v>1.9903560069765014E-2</v>
      </c>
      <c r="AV65" s="15">
        <f t="shared" ref="AV65" si="413">SUM(AV60:AV64)</f>
        <v>9941</v>
      </c>
      <c r="AW65" s="16"/>
      <c r="AX65" s="26">
        <f t="shared" si="364"/>
        <v>5.1604466351473643E-2</v>
      </c>
      <c r="AY65" s="15">
        <f t="shared" ref="AY65" si="414">SUM(AY60:AY64)</f>
        <v>10454</v>
      </c>
      <c r="AZ65" s="16"/>
      <c r="BA65" s="26">
        <f t="shared" si="365"/>
        <v>4.8019896690262076E-2</v>
      </c>
      <c r="BB65" s="15">
        <f t="shared" ref="BB65" si="415">SUM(BB60:BB64)</f>
        <v>10956</v>
      </c>
      <c r="BC65" s="16"/>
      <c r="BD65" s="26">
        <f t="shared" si="366"/>
        <v>3.9795545819642175E-2</v>
      </c>
      <c r="BE65" s="15">
        <f t="shared" ref="BE65" si="416">SUM(BE60:BE64)</f>
        <v>11392</v>
      </c>
      <c r="BF65" s="20"/>
      <c r="BG65" s="16"/>
      <c r="BH65" s="26">
        <f t="shared" si="367"/>
        <v>3.8886938202247201E-2</v>
      </c>
      <c r="BI65" s="15">
        <f t="shared" ref="BI65" si="417">SUM(BI60:BI64)</f>
        <v>11835</v>
      </c>
      <c r="BK65" s="16"/>
      <c r="BL65" s="26">
        <f t="shared" si="368"/>
        <v>0</v>
      </c>
      <c r="BM65" s="15">
        <f t="shared" ref="BM65" si="418">SUM(BM60:BM64)</f>
        <v>11835</v>
      </c>
      <c r="BO65" s="19"/>
    </row>
    <row r="66" spans="1:70" x14ac:dyDescent="0.15">
      <c r="A66" s="2" t="s">
        <v>19</v>
      </c>
      <c r="C66" s="3">
        <v>3214</v>
      </c>
      <c r="E66" s="26">
        <f t="shared" si="349"/>
        <v>3.6714374611076517E-2</v>
      </c>
      <c r="F66" s="3">
        <v>3332</v>
      </c>
      <c r="H66" s="26">
        <f t="shared" si="350"/>
        <v>4.021608643457375E-2</v>
      </c>
      <c r="I66" s="3">
        <v>3466</v>
      </c>
      <c r="K66" s="26">
        <f t="shared" ref="K66" si="419">(L66/I66)-1</f>
        <v>4.0392383150605893E-2</v>
      </c>
      <c r="L66" s="3">
        <v>3606</v>
      </c>
      <c r="N66" s="26">
        <f t="shared" ref="N66" si="420">(O66/L66)-1</f>
        <v>4.991680532445919E-2</v>
      </c>
      <c r="O66" s="3">
        <v>3786</v>
      </c>
      <c r="Q66" s="26">
        <f t="shared" ref="Q66" si="421">(R66/O66)-1</f>
        <v>4.8071843634442724E-2</v>
      </c>
      <c r="R66" s="3">
        <v>3968</v>
      </c>
      <c r="T66" s="26">
        <f t="shared" ref="T66" si="422">(U66/R66)-1</f>
        <v>5.9979838709677491E-2</v>
      </c>
      <c r="U66" s="3">
        <v>4206</v>
      </c>
      <c r="W66" s="26">
        <f t="shared" ref="W66" si="423">(X66/U66)-1</f>
        <v>5.7536852116024662E-2</v>
      </c>
      <c r="X66" s="3">
        <v>4448</v>
      </c>
      <c r="Z66" s="26">
        <f t="shared" ref="Z66" si="424">(AA66/X66)-1</f>
        <v>5.755395683453246E-2</v>
      </c>
      <c r="AA66" s="3">
        <v>4704</v>
      </c>
      <c r="AC66" s="26">
        <f t="shared" ref="AC66" si="425">(AD66/AA66)-1</f>
        <v>5.7823129251700633E-2</v>
      </c>
      <c r="AD66" s="3">
        <v>4976</v>
      </c>
      <c r="AF66" s="26">
        <f t="shared" si="358"/>
        <v>5.7877813504823239E-2</v>
      </c>
      <c r="AG66" s="3">
        <v>5264</v>
      </c>
      <c r="AI66" s="26">
        <f t="shared" ref="AI66" si="426">(AJ66/AG66)-1</f>
        <v>5.0151975683890626E-2</v>
      </c>
      <c r="AJ66" s="3">
        <v>5528</v>
      </c>
      <c r="AL66" s="26">
        <f t="shared" si="360"/>
        <v>2.4963820549927629E-2</v>
      </c>
      <c r="AM66" s="3">
        <v>5666</v>
      </c>
      <c r="AO66" s="26">
        <f t="shared" si="361"/>
        <v>2.4708789269325848E-2</v>
      </c>
      <c r="AP66" s="3">
        <v>5806</v>
      </c>
      <c r="AR66" s="26">
        <f t="shared" si="362"/>
        <v>4.4781260764726216E-2</v>
      </c>
      <c r="AS66" s="3">
        <v>6066</v>
      </c>
      <c r="AU66" s="26">
        <f t="shared" si="363"/>
        <v>3.4948895483020159E-2</v>
      </c>
      <c r="AV66" s="3">
        <v>6278</v>
      </c>
      <c r="AX66" s="26">
        <f t="shared" si="364"/>
        <v>2.007008601465432E-2</v>
      </c>
      <c r="AY66" s="3">
        <f>$AY$18</f>
        <v>6404</v>
      </c>
      <c r="BA66" s="26">
        <f t="shared" si="365"/>
        <v>2.9356652092442204E-2</v>
      </c>
      <c r="BB66" s="3">
        <v>6592</v>
      </c>
      <c r="BD66" s="26">
        <f t="shared" si="366"/>
        <v>2.7912621359223344E-2</v>
      </c>
      <c r="BE66" s="3">
        <v>6776</v>
      </c>
      <c r="BH66" s="26">
        <f t="shared" si="367"/>
        <v>2.7302243211334121E-2</v>
      </c>
      <c r="BI66" s="3">
        <v>6961</v>
      </c>
      <c r="BL66" s="26">
        <f t="shared" si="368"/>
        <v>0</v>
      </c>
      <c r="BM66" s="3">
        <v>6961</v>
      </c>
    </row>
    <row r="67" spans="1:70" x14ac:dyDescent="0.15">
      <c r="A67" s="2" t="s">
        <v>18</v>
      </c>
      <c r="C67" s="3">
        <v>2408</v>
      </c>
      <c r="E67" s="26">
        <f t="shared" si="349"/>
        <v>2.1594684385382035E-2</v>
      </c>
      <c r="F67" s="3">
        <v>2460</v>
      </c>
      <c r="H67" s="26">
        <f t="shared" si="350"/>
        <v>2.9268292682926855E-2</v>
      </c>
      <c r="I67" s="3">
        <v>2532</v>
      </c>
      <c r="K67" s="26">
        <f t="shared" ref="K67" si="427">(L67/I67)-1</f>
        <v>4.2654028436019065E-2</v>
      </c>
      <c r="L67" s="3">
        <v>2640</v>
      </c>
      <c r="N67" s="26">
        <f t="shared" ref="N67" si="428">(O67/L67)-1</f>
        <v>9.0151515151515094E-2</v>
      </c>
      <c r="O67" s="3">
        <v>2878</v>
      </c>
      <c r="Q67" s="26">
        <f t="shared" ref="Q67" si="429">(R67/O67)-1</f>
        <v>5.0729673384294571E-2</v>
      </c>
      <c r="R67" s="3">
        <v>3024</v>
      </c>
      <c r="T67" s="26">
        <f t="shared" ref="T67" si="430">(U67/R67)-1</f>
        <v>6.0185185185185119E-2</v>
      </c>
      <c r="U67" s="3">
        <v>3206</v>
      </c>
      <c r="W67" s="26">
        <f t="shared" ref="W67" si="431">(X67/U67)-1</f>
        <v>5.9887710542732453E-2</v>
      </c>
      <c r="X67" s="3">
        <v>3398</v>
      </c>
      <c r="Z67" s="26">
        <f t="shared" ref="Z67" si="432">(AA67/X67)-1</f>
        <v>0</v>
      </c>
      <c r="AA67" s="3">
        <v>3398</v>
      </c>
      <c r="AC67" s="26">
        <f t="shared" ref="AC67" si="433">(AD67/AA67)-1</f>
        <v>5.885815185403187E-2</v>
      </c>
      <c r="AD67" s="3">
        <v>3598</v>
      </c>
      <c r="AF67" s="26">
        <f t="shared" si="358"/>
        <v>6.0033351862145645E-2</v>
      </c>
      <c r="AG67" s="3">
        <v>3814</v>
      </c>
      <c r="AI67" s="26">
        <f t="shared" ref="AI67" si="434">(AJ67/AG67)-1</f>
        <v>4.9816465652857911E-2</v>
      </c>
      <c r="AJ67" s="3">
        <v>4004</v>
      </c>
      <c r="AL67" s="26">
        <f t="shared" si="360"/>
        <v>2.4975024975024906E-2</v>
      </c>
      <c r="AM67" s="3">
        <v>4104</v>
      </c>
      <c r="AO67" s="26">
        <f t="shared" si="361"/>
        <v>2.4853801169590684E-2</v>
      </c>
      <c r="AP67" s="3">
        <v>4206</v>
      </c>
      <c r="AR67" s="26">
        <f t="shared" si="362"/>
        <v>4.5173561578697008E-2</v>
      </c>
      <c r="AS67" s="3">
        <v>4396</v>
      </c>
      <c r="AU67" s="26">
        <f t="shared" si="363"/>
        <v>3.5031847133758065E-2</v>
      </c>
      <c r="AV67" s="3">
        <v>4550</v>
      </c>
      <c r="AX67" s="26">
        <f t="shared" si="364"/>
        <v>2.9890109890109873E-2</v>
      </c>
      <c r="AY67" s="3">
        <f>$AY$19</f>
        <v>4686</v>
      </c>
      <c r="BA67" s="26">
        <f t="shared" si="365"/>
        <v>2.9876227059325577E-2</v>
      </c>
      <c r="BB67" s="3">
        <v>4826</v>
      </c>
      <c r="BD67" s="26">
        <f t="shared" si="366"/>
        <v>3.5225859925404057E-2</v>
      </c>
      <c r="BE67" s="3">
        <v>4996</v>
      </c>
      <c r="BH67" s="26">
        <f t="shared" si="367"/>
        <v>3.5228182546036768E-2</v>
      </c>
      <c r="BI67" s="3">
        <v>5172</v>
      </c>
      <c r="BL67" s="26">
        <f t="shared" si="368"/>
        <v>0</v>
      </c>
      <c r="BM67" s="3">
        <v>5172</v>
      </c>
    </row>
    <row r="68" spans="1:70" x14ac:dyDescent="0.15">
      <c r="A68" s="2" t="s">
        <v>20</v>
      </c>
      <c r="C68" s="3">
        <v>30</v>
      </c>
      <c r="E68" s="26">
        <f t="shared" si="349"/>
        <v>6.6666666666666652E-2</v>
      </c>
      <c r="F68" s="3">
        <v>32</v>
      </c>
      <c r="H68" s="26">
        <f t="shared" si="350"/>
        <v>6.25E-2</v>
      </c>
      <c r="I68" s="3">
        <v>34</v>
      </c>
      <c r="K68" s="26">
        <f t="shared" ref="K68" si="435">(L68/I68)-1</f>
        <v>0</v>
      </c>
      <c r="L68" s="3">
        <v>34</v>
      </c>
      <c r="N68" s="26">
        <f t="shared" ref="N68" si="436">(O68/L68)-1</f>
        <v>0.17647058823529416</v>
      </c>
      <c r="O68" s="3">
        <v>40</v>
      </c>
      <c r="Q68" s="26">
        <f t="shared" ref="Q68" si="437">(R68/O68)-1</f>
        <v>0.10000000000000009</v>
      </c>
      <c r="R68" s="3">
        <v>44</v>
      </c>
      <c r="T68" s="26">
        <f t="shared" ref="T68" si="438">(U68/R68)-1</f>
        <v>0</v>
      </c>
      <c r="U68" s="3">
        <v>44</v>
      </c>
      <c r="W68" s="26">
        <f t="shared" ref="W68" si="439">(X68/U68)-1</f>
        <v>0</v>
      </c>
      <c r="X68" s="3">
        <v>44</v>
      </c>
      <c r="Z68" s="26">
        <f t="shared" ref="Z68" si="440">(AA68/X68)-1</f>
        <v>0</v>
      </c>
      <c r="AA68" s="3">
        <v>44</v>
      </c>
      <c r="AC68" s="26">
        <f t="shared" ref="AC68" si="441">(AD68/AA68)-1</f>
        <v>0</v>
      </c>
      <c r="AD68" s="3">
        <v>44</v>
      </c>
      <c r="AF68" s="26">
        <f t="shared" si="358"/>
        <v>0</v>
      </c>
      <c r="AG68" s="3">
        <v>44</v>
      </c>
      <c r="AI68" s="26">
        <f t="shared" ref="AI68" si="442">(AJ68/AG68)-1</f>
        <v>0</v>
      </c>
      <c r="AJ68" s="3">
        <v>44</v>
      </c>
      <c r="AL68" s="26">
        <f t="shared" si="360"/>
        <v>0</v>
      </c>
      <c r="AM68" s="3">
        <v>44</v>
      </c>
      <c r="AO68" s="26">
        <f t="shared" si="361"/>
        <v>0</v>
      </c>
      <c r="AP68" s="3">
        <v>44</v>
      </c>
      <c r="AR68" s="26">
        <f t="shared" si="362"/>
        <v>0</v>
      </c>
      <c r="AS68" s="3">
        <v>44</v>
      </c>
      <c r="AU68" s="26">
        <f t="shared" si="363"/>
        <v>0</v>
      </c>
      <c r="AV68" s="3">
        <v>44</v>
      </c>
      <c r="AX68" s="26">
        <f t="shared" si="364"/>
        <v>0</v>
      </c>
      <c r="AY68" s="3">
        <f>$AY$20</f>
        <v>44</v>
      </c>
      <c r="BA68" s="26">
        <f t="shared" si="365"/>
        <v>0</v>
      </c>
      <c r="BB68" s="3">
        <v>44</v>
      </c>
      <c r="BD68" s="26">
        <f t="shared" si="366"/>
        <v>0</v>
      </c>
      <c r="BE68" s="3">
        <v>44</v>
      </c>
      <c r="BH68" s="26">
        <f t="shared" si="367"/>
        <v>0</v>
      </c>
      <c r="BI68" s="3">
        <v>44</v>
      </c>
      <c r="BL68" s="26">
        <f t="shared" si="368"/>
        <v>0</v>
      </c>
      <c r="BM68" s="3">
        <v>44</v>
      </c>
    </row>
    <row r="69" spans="1:70" ht="14" thickBot="1" x14ac:dyDescent="0.2">
      <c r="A69" s="2" t="s">
        <v>21</v>
      </c>
      <c r="C69" s="22">
        <f>SUM(C65:C68)</f>
        <v>9892</v>
      </c>
      <c r="D69" s="16"/>
      <c r="E69" s="26">
        <f t="shared" si="349"/>
        <v>3.9324706833805179E-2</v>
      </c>
      <c r="F69" s="22">
        <f t="shared" ref="F69:AJ69" si="443">SUM(F65:F68)</f>
        <v>10281</v>
      </c>
      <c r="G69" s="16"/>
      <c r="H69" s="26">
        <f t="shared" si="350"/>
        <v>6.0013617352397519E-2</v>
      </c>
      <c r="I69" s="22">
        <f t="shared" si="443"/>
        <v>10898</v>
      </c>
      <c r="J69" s="16"/>
      <c r="K69" s="26">
        <f t="shared" ref="K69" si="444">(L69/I69)-1</f>
        <v>5.982749128280429E-2</v>
      </c>
      <c r="L69" s="22">
        <f t="shared" si="443"/>
        <v>11550</v>
      </c>
      <c r="M69" s="16"/>
      <c r="N69" s="26">
        <f t="shared" ref="N69" si="445">(O69/L69)-1</f>
        <v>9.7056277056277063E-2</v>
      </c>
      <c r="O69" s="22">
        <f t="shared" si="443"/>
        <v>12671</v>
      </c>
      <c r="P69" s="16"/>
      <c r="Q69" s="26">
        <f t="shared" ref="Q69" si="446">(R69/O69)-1</f>
        <v>7.1422934259332438E-2</v>
      </c>
      <c r="R69" s="22">
        <f t="shared" si="443"/>
        <v>13576</v>
      </c>
      <c r="S69" s="16"/>
      <c r="T69" s="26">
        <f t="shared" ref="T69" si="447">(U69/R69)-1</f>
        <v>5.3255745433117285E-2</v>
      </c>
      <c r="U69" s="22">
        <f t="shared" si="443"/>
        <v>14299</v>
      </c>
      <c r="V69" s="16"/>
      <c r="W69" s="26">
        <f t="shared" ref="W69" si="448">(X69/U69)-1</f>
        <v>5.2451220365060447E-2</v>
      </c>
      <c r="X69" s="22">
        <f t="shared" si="443"/>
        <v>15049</v>
      </c>
      <c r="Y69" s="16"/>
      <c r="Z69" s="26">
        <f t="shared" ref="Z69" si="449">(AA69/X69)-1</f>
        <v>3.9072363612200123E-2</v>
      </c>
      <c r="AA69" s="22">
        <f t="shared" si="443"/>
        <v>15637</v>
      </c>
      <c r="AB69" s="16"/>
      <c r="AC69" s="26">
        <f t="shared" ref="AC69" si="450">(AD69/AA69)-1</f>
        <v>5.243972629020921E-2</v>
      </c>
      <c r="AD69" s="22">
        <f t="shared" si="443"/>
        <v>16457</v>
      </c>
      <c r="AE69" s="16"/>
      <c r="AF69" s="26">
        <f t="shared" si="358"/>
        <v>5.6693200461809479E-2</v>
      </c>
      <c r="AG69" s="22">
        <f t="shared" si="443"/>
        <v>17390</v>
      </c>
      <c r="AH69" s="16"/>
      <c r="AI69" s="26">
        <f t="shared" ref="AI69" si="451">(AJ69/AG69)-1</f>
        <v>5.5779183438757984E-2</v>
      </c>
      <c r="AJ69" s="22">
        <f t="shared" si="443"/>
        <v>18360</v>
      </c>
      <c r="AK69" s="16"/>
      <c r="AL69" s="26">
        <f t="shared" si="360"/>
        <v>2.4836601307189454E-2</v>
      </c>
      <c r="AM69" s="22">
        <f t="shared" ref="AM69" si="452">SUM(AM65:AM68)</f>
        <v>18816</v>
      </c>
      <c r="AN69" s="16"/>
      <c r="AO69" s="26">
        <f t="shared" si="361"/>
        <v>2.9071003401360596E-2</v>
      </c>
      <c r="AP69" s="22">
        <f t="shared" ref="AP69" si="453">SUM(AP65:AP68)</f>
        <v>19363</v>
      </c>
      <c r="AQ69" s="16"/>
      <c r="AR69" s="26">
        <f t="shared" si="362"/>
        <v>4.5963951866962782E-2</v>
      </c>
      <c r="AS69" s="22">
        <f t="shared" ref="AS69" si="454">SUM(AS65:AS68)</f>
        <v>20253</v>
      </c>
      <c r="AT69" s="16"/>
      <c r="AU69" s="26">
        <f t="shared" si="363"/>
        <v>2.7650224658075429E-2</v>
      </c>
      <c r="AV69" s="22">
        <f t="shared" ref="AV69" si="455">SUM(AV65:AV68)</f>
        <v>20813</v>
      </c>
      <c r="AW69" s="16"/>
      <c r="AX69" s="26">
        <f t="shared" si="364"/>
        <v>3.7236342670446287E-2</v>
      </c>
      <c r="AY69" s="22">
        <f t="shared" ref="AY69" si="456">SUM(AY65:AY68)</f>
        <v>21588</v>
      </c>
      <c r="AZ69" s="16"/>
      <c r="BA69" s="26">
        <f t="shared" si="365"/>
        <v>3.8447285528997677E-2</v>
      </c>
      <c r="BB69" s="22">
        <f t="shared" ref="BB69" si="457">SUM(BB65:BB68)</f>
        <v>22418</v>
      </c>
      <c r="BC69" s="16"/>
      <c r="BD69" s="26">
        <f t="shared" si="366"/>
        <v>3.5239539655633756E-2</v>
      </c>
      <c r="BE69" s="22">
        <f t="shared" ref="BE69" si="458">SUM(BE65:BE68)</f>
        <v>23208</v>
      </c>
      <c r="BF69" s="20"/>
      <c r="BG69" s="16"/>
      <c r="BH69" s="26">
        <f t="shared" si="367"/>
        <v>3.4643226473629829E-2</v>
      </c>
      <c r="BI69" s="22">
        <f t="shared" ref="BI69" si="459">SUM(BI65:BI68)</f>
        <v>24012</v>
      </c>
      <c r="BK69" s="16"/>
      <c r="BL69" s="26">
        <f t="shared" si="368"/>
        <v>0</v>
      </c>
      <c r="BM69" s="22">
        <f t="shared" ref="BM69" si="460">SUM(BM65:BM68)</f>
        <v>24012</v>
      </c>
      <c r="BO69" s="19"/>
      <c r="BP69" s="22">
        <f>SUM(BP60:BP68)</f>
        <v>10001</v>
      </c>
      <c r="BQ69" s="22">
        <f>SUM(BQ60:BQ68)</f>
        <v>10417</v>
      </c>
      <c r="BR69" s="22">
        <f>SUM(BR60:BR68)</f>
        <v>-430</v>
      </c>
    </row>
    <row r="70" spans="1:70" ht="14" thickTop="1" x14ac:dyDescent="0.15"/>
    <row r="71" spans="1:70" x14ac:dyDescent="0.15">
      <c r="A71" s="12" t="s">
        <v>22</v>
      </c>
    </row>
    <row r="72" spans="1:70" x14ac:dyDescent="0.15">
      <c r="A72" s="2" t="s">
        <v>13</v>
      </c>
      <c r="C72" s="3">
        <v>7156</v>
      </c>
      <c r="E72" s="26">
        <f t="shared" ref="E72:E81" si="461">(F72/C72)-1</f>
        <v>3.9128004471771893E-2</v>
      </c>
      <c r="F72" s="3">
        <v>7436</v>
      </c>
      <c r="H72" s="26">
        <f t="shared" ref="H72:H81" si="462">(I72/F72)-1</f>
        <v>3.8999462076385161E-2</v>
      </c>
      <c r="I72" s="3">
        <v>7726</v>
      </c>
      <c r="K72" s="26">
        <f t="shared" ref="K72" si="463">(L72/I72)-1</f>
        <v>3.8959358011907863E-2</v>
      </c>
      <c r="L72" s="3">
        <v>8027</v>
      </c>
      <c r="N72" s="26">
        <f t="shared" ref="N72" si="464">(O72/L72)-1</f>
        <v>0.14488600971720444</v>
      </c>
      <c r="O72" s="3">
        <v>9190</v>
      </c>
      <c r="Q72" s="26">
        <f t="shared" ref="Q72" si="465">(R72/O72)-1</f>
        <v>8.095756256800879E-2</v>
      </c>
      <c r="R72" s="3">
        <v>9934</v>
      </c>
      <c r="T72" s="26">
        <f t="shared" ref="T72" si="466">(U72/R72)-1</f>
        <v>5.9995973424602278E-2</v>
      </c>
      <c r="U72" s="3">
        <v>10530</v>
      </c>
      <c r="W72" s="26">
        <f t="shared" ref="W72" si="467">(X72/U72)-1</f>
        <v>5.042735042735047E-2</v>
      </c>
      <c r="X72" s="3">
        <v>11061</v>
      </c>
      <c r="Z72" s="26">
        <f t="shared" ref="Z72" si="468">(AA72/X72)-1</f>
        <v>4.9995479613054838E-2</v>
      </c>
      <c r="AA72" s="3">
        <v>11614</v>
      </c>
      <c r="AC72" s="26">
        <f t="shared" ref="AC72" si="469">(AD72/AA72)-1</f>
        <v>5.0025830893748902E-2</v>
      </c>
      <c r="AD72" s="3">
        <v>12195</v>
      </c>
      <c r="AF72" s="26">
        <f t="shared" ref="AF72:AF81" si="470">(AG72/AD72)-1</f>
        <v>6.5026650266502672E-2</v>
      </c>
      <c r="AG72" s="3">
        <v>12988</v>
      </c>
      <c r="AI72" s="26">
        <f t="shared" ref="AI72" si="471">(AJ72/AG72)-1</f>
        <v>7.4992300585155602E-2</v>
      </c>
      <c r="AJ72" s="3">
        <v>13962</v>
      </c>
      <c r="AL72" s="26">
        <f t="shared" ref="AL72:AL81" si="472">(AM72/AJ72)-1</f>
        <v>2.4996418851167546E-2</v>
      </c>
      <c r="AM72" s="3">
        <v>14311</v>
      </c>
      <c r="AO72" s="26">
        <f t="shared" ref="AO72:AO81" si="473">(AP72/AM72)-1</f>
        <v>3.8990985954859836E-2</v>
      </c>
      <c r="AP72" s="3">
        <v>14869</v>
      </c>
      <c r="AR72" s="26">
        <f t="shared" ref="AR72:AR81" si="474">(AS72/AP72)-1</f>
        <v>5.2525388391956529E-2</v>
      </c>
      <c r="AS72" s="3">
        <v>15650</v>
      </c>
      <c r="AU72" s="26">
        <f t="shared" ref="AU72:AU81" si="475">(AV72/AS72)-1</f>
        <v>2.0063897763578309E-2</v>
      </c>
      <c r="AV72" s="3">
        <v>15964</v>
      </c>
      <c r="AX72" s="26">
        <f t="shared" ref="AX72:AX81" si="476">(AY72/AV72)-1</f>
        <v>7.9929842144825791E-2</v>
      </c>
      <c r="AY72" s="3">
        <v>17240</v>
      </c>
      <c r="BA72" s="26">
        <f t="shared" ref="BA72:BA81" si="477">(BB72/AY72)-1</f>
        <v>5.0000000000000044E-2</v>
      </c>
      <c r="BB72" s="3">
        <v>18102</v>
      </c>
      <c r="BD72" s="26">
        <f t="shared" ref="BD72:BD81" si="478">(BE72/BB72)-1</f>
        <v>0</v>
      </c>
      <c r="BE72" s="3">
        <v>18102</v>
      </c>
      <c r="BF72" s="4">
        <v>-1</v>
      </c>
      <c r="BH72" s="26">
        <f t="shared" ref="BH72:BH81" si="479">(BI72/BE72)-1</f>
        <v>0</v>
      </c>
      <c r="BI72" s="3">
        <v>18102</v>
      </c>
      <c r="BJ72" s="4">
        <v>-1</v>
      </c>
      <c r="BL72" s="26">
        <f t="shared" ref="BL72:BL81" si="480">(BM72/BI72)-1</f>
        <v>0</v>
      </c>
      <c r="BM72" s="3">
        <v>18102</v>
      </c>
      <c r="BN72" s="4">
        <v>-1</v>
      </c>
      <c r="BP72" s="3">
        <f>BE72</f>
        <v>18102</v>
      </c>
      <c r="BQ72" s="3">
        <f>BI72</f>
        <v>18102</v>
      </c>
      <c r="BR72" s="3">
        <f>BJ72</f>
        <v>-1</v>
      </c>
    </row>
    <row r="73" spans="1:70" x14ac:dyDescent="0.15">
      <c r="A73" s="2" t="s">
        <v>14</v>
      </c>
      <c r="C73" s="3">
        <v>1565</v>
      </c>
      <c r="E73" s="26">
        <f t="shared" si="461"/>
        <v>3.514376996805102E-2</v>
      </c>
      <c r="F73" s="3">
        <v>1620</v>
      </c>
      <c r="H73" s="26">
        <f t="shared" si="462"/>
        <v>3.5185185185185208E-2</v>
      </c>
      <c r="I73" s="3">
        <v>1677</v>
      </c>
      <c r="K73" s="26">
        <f t="shared" ref="K73" si="481">(L73/I73)-1</f>
        <v>3.5181872391174762E-2</v>
      </c>
      <c r="L73" s="3">
        <v>1736</v>
      </c>
      <c r="N73" s="26">
        <f t="shared" ref="N73" si="482">(O73/L73)-1</f>
        <v>3.5714285714285809E-2</v>
      </c>
      <c r="O73" s="3">
        <v>1798</v>
      </c>
      <c r="Q73" s="26">
        <f t="shared" ref="Q73" si="483">(R73/O73)-1</f>
        <v>4.5050055617352536E-2</v>
      </c>
      <c r="R73" s="3">
        <v>1879</v>
      </c>
      <c r="T73" s="26">
        <f t="shared" ref="T73" si="484">(U73/R73)-1</f>
        <v>3.5125066524747117E-2</v>
      </c>
      <c r="U73" s="3">
        <v>1945</v>
      </c>
      <c r="W73" s="26">
        <f t="shared" ref="W73" si="485">(X73/U73)-1</f>
        <v>3.5475578406169772E-2</v>
      </c>
      <c r="X73" s="3">
        <v>2014</v>
      </c>
      <c r="Z73" s="26">
        <f t="shared" ref="Z73" si="486">(AA73/X73)-1</f>
        <v>3.4756703078450801E-2</v>
      </c>
      <c r="AA73" s="3">
        <v>2084</v>
      </c>
      <c r="AC73" s="26">
        <f t="shared" ref="AC73" si="487">(AD73/AA73)-1</f>
        <v>3.5028790786948205E-2</v>
      </c>
      <c r="AD73" s="3">
        <v>2157</v>
      </c>
      <c r="AF73" s="26">
        <f t="shared" si="470"/>
        <v>3.4770514603616132E-2</v>
      </c>
      <c r="AG73" s="3">
        <v>2232</v>
      </c>
      <c r="AI73" s="26">
        <f t="shared" ref="AI73" si="488">(AJ73/AG73)-1</f>
        <v>3.4946236559139754E-2</v>
      </c>
      <c r="AJ73" s="3">
        <v>2310</v>
      </c>
      <c r="AL73" s="26">
        <f t="shared" si="472"/>
        <v>2.510822510822508E-2</v>
      </c>
      <c r="AM73" s="3">
        <v>2368</v>
      </c>
      <c r="AO73" s="26">
        <f t="shared" si="473"/>
        <v>3.5050675675675658E-2</v>
      </c>
      <c r="AP73" s="3">
        <v>2451</v>
      </c>
      <c r="AR73" s="26">
        <f t="shared" si="474"/>
        <v>0</v>
      </c>
      <c r="AS73" s="3">
        <v>2451</v>
      </c>
      <c r="AU73" s="26">
        <f t="shared" si="475"/>
        <v>1.9991840065279431E-2</v>
      </c>
      <c r="AV73" s="3">
        <v>2500</v>
      </c>
      <c r="AX73" s="26">
        <f t="shared" si="476"/>
        <v>-0.19999999999999996</v>
      </c>
      <c r="AY73" s="3">
        <v>2000</v>
      </c>
      <c r="BA73" s="26">
        <f t="shared" si="477"/>
        <v>3.0000000000000027E-2</v>
      </c>
      <c r="BB73" s="3">
        <v>2060</v>
      </c>
      <c r="BD73" s="26">
        <f t="shared" si="478"/>
        <v>3.0097087378640808E-2</v>
      </c>
      <c r="BE73" s="3">
        <v>2122</v>
      </c>
      <c r="BH73" s="26">
        <f t="shared" si="479"/>
        <v>3.016022620169645E-2</v>
      </c>
      <c r="BI73" s="3">
        <v>2186</v>
      </c>
      <c r="BJ73" s="4"/>
      <c r="BL73" s="26">
        <f t="shared" si="480"/>
        <v>0</v>
      </c>
      <c r="BM73" s="3">
        <v>2186</v>
      </c>
      <c r="BN73" s="4"/>
      <c r="BP73" s="4"/>
    </row>
    <row r="74" spans="1:70" x14ac:dyDescent="0.15">
      <c r="A74" s="2" t="s">
        <v>15</v>
      </c>
      <c r="C74" s="3">
        <f>850+125</f>
        <v>975</v>
      </c>
      <c r="E74" s="26">
        <f t="shared" si="461"/>
        <v>9.1282051282051357E-2</v>
      </c>
      <c r="F74" s="3">
        <f>939+125</f>
        <v>1064</v>
      </c>
      <c r="H74" s="26">
        <f t="shared" si="462"/>
        <v>0.25751879699248126</v>
      </c>
      <c r="I74" s="3">
        <f>1188+150</f>
        <v>1338</v>
      </c>
      <c r="K74" s="26">
        <f t="shared" ref="K74" si="489">(L74/I74)-1</f>
        <v>0.20328849028400597</v>
      </c>
      <c r="L74" s="3">
        <f>1410+200</f>
        <v>1610</v>
      </c>
      <c r="N74" s="26">
        <f t="shared" ref="N74" si="490">(O74/L74)-1</f>
        <v>0.15714285714285725</v>
      </c>
      <c r="O74" s="3">
        <f>1645+218</f>
        <v>1863</v>
      </c>
      <c r="Q74" s="26">
        <f t="shared" ref="Q74" si="491">(R74/O74)-1</f>
        <v>0.1460010735373054</v>
      </c>
      <c r="R74" s="3">
        <f>1917+218</f>
        <v>2135</v>
      </c>
      <c r="T74" s="26">
        <f t="shared" ref="T74" si="492">(U74/R74)-1</f>
        <v>2.9039812646370011E-2</v>
      </c>
      <c r="U74" s="3">
        <f>1974+223</f>
        <v>2197</v>
      </c>
      <c r="W74" s="26">
        <f t="shared" ref="W74" si="493">(X74/U74)-1</f>
        <v>4.4606281292671746E-2</v>
      </c>
      <c r="X74" s="3">
        <f>2072+223</f>
        <v>2295</v>
      </c>
      <c r="Z74" s="26">
        <f t="shared" ref="Z74" si="494">(AA74/X74)-1</f>
        <v>4.5315904139433538E-2</v>
      </c>
      <c r="AA74" s="3">
        <f>2176+223</f>
        <v>2399</v>
      </c>
      <c r="AC74" s="26">
        <f t="shared" ref="AC74" si="495">(AD74/AA74)-1</f>
        <v>4.5852438516048366E-2</v>
      </c>
      <c r="AD74" s="3">
        <f>2286+223</f>
        <v>2509</v>
      </c>
      <c r="AF74" s="26">
        <f t="shared" si="470"/>
        <v>4.5037863690713387E-2</v>
      </c>
      <c r="AG74" s="3">
        <v>2622</v>
      </c>
      <c r="AI74" s="26">
        <f t="shared" ref="AI74" si="496">(AJ74/AG74)-1</f>
        <v>5.1106025934401167E-2</v>
      </c>
      <c r="AJ74" s="3">
        <v>2756</v>
      </c>
      <c r="AL74" s="26">
        <f t="shared" si="472"/>
        <v>2.503628447024675E-2</v>
      </c>
      <c r="AM74" s="3">
        <v>2825</v>
      </c>
      <c r="AO74" s="26">
        <f t="shared" si="473"/>
        <v>2.5132743362831889E-2</v>
      </c>
      <c r="AP74" s="3">
        <v>2896</v>
      </c>
      <c r="AR74" s="26">
        <f t="shared" si="474"/>
        <v>4.4889502762430977E-2</v>
      </c>
      <c r="AS74" s="3">
        <v>3026</v>
      </c>
      <c r="AU74" s="26">
        <f t="shared" si="475"/>
        <v>1.9828155981493678E-2</v>
      </c>
      <c r="AV74" s="3">
        <v>3086</v>
      </c>
      <c r="AX74" s="26">
        <f t="shared" si="476"/>
        <v>8.6195722618276127E-2</v>
      </c>
      <c r="AY74" s="3">
        <v>3352</v>
      </c>
      <c r="BA74" s="26">
        <f t="shared" si="477"/>
        <v>5.0119331742243478E-2</v>
      </c>
      <c r="BB74" s="3">
        <v>3520</v>
      </c>
      <c r="BD74" s="26">
        <f t="shared" si="478"/>
        <v>4.2613636363636465E-2</v>
      </c>
      <c r="BE74" s="3">
        <v>3670</v>
      </c>
      <c r="BF74" s="4">
        <v>-2</v>
      </c>
      <c r="BH74" s="26">
        <f t="shared" si="479"/>
        <v>3.9782016348773874E-2</v>
      </c>
      <c r="BI74" s="3">
        <v>3816</v>
      </c>
      <c r="BJ74" s="4">
        <v>-3</v>
      </c>
      <c r="BL74" s="26">
        <f t="shared" si="480"/>
        <v>0</v>
      </c>
      <c r="BM74" s="3">
        <v>3816</v>
      </c>
      <c r="BN74" s="4">
        <v>-3</v>
      </c>
      <c r="BP74" s="3">
        <f>BE74-68-125-10-223</f>
        <v>3244</v>
      </c>
      <c r="BQ74" s="3">
        <f>BI74-68-125-10-223</f>
        <v>3390</v>
      </c>
      <c r="BR74" s="3">
        <f>BJ74-68-125-10-223</f>
        <v>-429</v>
      </c>
    </row>
    <row r="75" spans="1:70" x14ac:dyDescent="0.15">
      <c r="A75" s="2" t="s">
        <v>16</v>
      </c>
      <c r="C75" s="3">
        <v>60</v>
      </c>
      <c r="E75" s="26">
        <f t="shared" si="461"/>
        <v>0.10000000000000009</v>
      </c>
      <c r="F75" s="3">
        <v>66</v>
      </c>
      <c r="H75" s="26">
        <f t="shared" si="462"/>
        <v>0.1212121212121211</v>
      </c>
      <c r="I75" s="3">
        <v>74</v>
      </c>
      <c r="K75" s="26">
        <f t="shared" ref="K75" si="497">(L75/I75)-1</f>
        <v>0</v>
      </c>
      <c r="L75" s="3">
        <v>74</v>
      </c>
      <c r="N75" s="26">
        <f t="shared" ref="N75" si="498">(O75/L75)-1</f>
        <v>0</v>
      </c>
      <c r="O75" s="3">
        <v>74</v>
      </c>
      <c r="Q75" s="26">
        <f t="shared" ref="Q75" si="499">(R75/O75)-1</f>
        <v>0</v>
      </c>
      <c r="R75" s="3">
        <v>74</v>
      </c>
      <c r="T75" s="26">
        <f t="shared" ref="T75" si="500">(U75/R75)-1</f>
        <v>0</v>
      </c>
      <c r="U75" s="3">
        <v>74</v>
      </c>
      <c r="W75" s="26">
        <f t="shared" ref="W75" si="501">(X75/U75)-1</f>
        <v>0</v>
      </c>
      <c r="X75" s="3">
        <v>74</v>
      </c>
      <c r="Z75" s="26">
        <f t="shared" ref="Z75" si="502">(AA75/X75)-1</f>
        <v>0</v>
      </c>
      <c r="AA75" s="3">
        <v>74</v>
      </c>
      <c r="AC75" s="26">
        <f t="shared" ref="AC75" si="503">(AD75/AA75)-1</f>
        <v>0</v>
      </c>
      <c r="AD75" s="3">
        <v>74</v>
      </c>
      <c r="AF75" s="26">
        <f t="shared" si="470"/>
        <v>0</v>
      </c>
      <c r="AG75" s="3">
        <v>74</v>
      </c>
      <c r="AI75" s="26">
        <f t="shared" ref="AI75" si="504">(AJ75/AG75)-1</f>
        <v>0</v>
      </c>
      <c r="AJ75" s="3">
        <v>74</v>
      </c>
      <c r="AL75" s="26">
        <f t="shared" si="472"/>
        <v>0</v>
      </c>
      <c r="AM75" s="3">
        <v>74</v>
      </c>
      <c r="AO75" s="26">
        <f t="shared" si="473"/>
        <v>0</v>
      </c>
      <c r="AP75" s="3">
        <v>74</v>
      </c>
      <c r="AR75" s="26">
        <f t="shared" si="474"/>
        <v>0</v>
      </c>
      <c r="AS75" s="3">
        <v>74</v>
      </c>
      <c r="AU75" s="26">
        <f t="shared" si="475"/>
        <v>0</v>
      </c>
      <c r="AV75" s="3">
        <v>74</v>
      </c>
      <c r="AX75" s="26">
        <f t="shared" si="476"/>
        <v>0</v>
      </c>
      <c r="AY75" s="3">
        <v>74</v>
      </c>
      <c r="BA75" s="26">
        <f t="shared" si="477"/>
        <v>0</v>
      </c>
      <c r="BB75" s="3">
        <v>74</v>
      </c>
      <c r="BD75" s="26">
        <f t="shared" si="478"/>
        <v>0</v>
      </c>
      <c r="BE75" s="3">
        <v>74</v>
      </c>
      <c r="BH75" s="26">
        <f t="shared" si="479"/>
        <v>0</v>
      </c>
      <c r="BI75" s="3">
        <v>74</v>
      </c>
      <c r="BL75" s="26">
        <f t="shared" si="480"/>
        <v>0</v>
      </c>
      <c r="BM75" s="3">
        <v>74</v>
      </c>
    </row>
    <row r="76" spans="1:70" x14ac:dyDescent="0.15">
      <c r="A76" s="2" t="s">
        <v>28</v>
      </c>
      <c r="E76" s="26" t="e">
        <f t="shared" si="461"/>
        <v>#DIV/0!</v>
      </c>
      <c r="H76" s="26" t="e">
        <f t="shared" si="462"/>
        <v>#DIV/0!</v>
      </c>
      <c r="K76" s="26" t="e">
        <f t="shared" ref="K76" si="505">(L76/I76)-1</f>
        <v>#DIV/0!</v>
      </c>
      <c r="L76" s="3">
        <v>0</v>
      </c>
      <c r="N76" s="26" t="e">
        <f t="shared" ref="N76" si="506">(O76/L76)-1</f>
        <v>#DIV/0!</v>
      </c>
      <c r="O76" s="3">
        <v>0</v>
      </c>
      <c r="Q76" s="26" t="e">
        <f t="shared" ref="Q76" si="507">(R76/O76)-1</f>
        <v>#DIV/0!</v>
      </c>
      <c r="R76" s="3">
        <v>0</v>
      </c>
      <c r="T76" s="26" t="e">
        <f t="shared" ref="T76" si="508">(U76/R76)-1</f>
        <v>#DIV/0!</v>
      </c>
      <c r="U76" s="3">
        <v>0</v>
      </c>
      <c r="W76" s="26" t="e">
        <f t="shared" ref="W76" si="509">(X76/U76)-1</f>
        <v>#DIV/0!</v>
      </c>
      <c r="X76" s="3">
        <v>0</v>
      </c>
      <c r="Z76" s="26" t="e">
        <f t="shared" ref="Z76" si="510">(AA76/X76)-1</f>
        <v>#DIV/0!</v>
      </c>
      <c r="AA76" s="3">
        <v>0</v>
      </c>
      <c r="AC76" s="26" t="e">
        <f t="shared" ref="AC76" si="511">(AD76/AA76)-1</f>
        <v>#DIV/0!</v>
      </c>
      <c r="AD76" s="3">
        <v>0</v>
      </c>
      <c r="AF76" s="26" t="e">
        <f t="shared" si="470"/>
        <v>#DIV/0!</v>
      </c>
      <c r="AG76" s="3">
        <v>0</v>
      </c>
      <c r="AI76" s="26" t="e">
        <f t="shared" ref="AI76" si="512">(AJ76/AG76)-1</f>
        <v>#DIV/0!</v>
      </c>
      <c r="AJ76" s="3">
        <v>0</v>
      </c>
      <c r="AL76" s="26" t="e">
        <f t="shared" si="472"/>
        <v>#DIV/0!</v>
      </c>
      <c r="AM76" s="3">
        <v>0</v>
      </c>
      <c r="AO76" s="26" t="e">
        <f t="shared" si="473"/>
        <v>#DIV/0!</v>
      </c>
      <c r="AP76" s="3">
        <v>0</v>
      </c>
      <c r="AR76" s="26" t="e">
        <f t="shared" si="474"/>
        <v>#DIV/0!</v>
      </c>
      <c r="AS76" s="3">
        <v>0</v>
      </c>
      <c r="AU76" s="26" t="e">
        <f t="shared" si="475"/>
        <v>#DIV/0!</v>
      </c>
      <c r="AV76" s="3">
        <v>0</v>
      </c>
      <c r="AX76" s="26" t="e">
        <f t="shared" si="476"/>
        <v>#DIV/0!</v>
      </c>
      <c r="AY76" s="3">
        <v>0</v>
      </c>
      <c r="BA76" s="26" t="e">
        <f t="shared" si="477"/>
        <v>#DIV/0!</v>
      </c>
      <c r="BB76" s="3">
        <v>0</v>
      </c>
      <c r="BD76" s="26" t="e">
        <f t="shared" si="478"/>
        <v>#DIV/0!</v>
      </c>
      <c r="BE76" s="3">
        <v>0</v>
      </c>
      <c r="BH76" s="26" t="e">
        <f t="shared" si="479"/>
        <v>#DIV/0!</v>
      </c>
      <c r="BI76" s="3">
        <v>0</v>
      </c>
      <c r="BL76" s="26" t="e">
        <f t="shared" si="480"/>
        <v>#DIV/0!</v>
      </c>
      <c r="BM76" s="3">
        <v>0</v>
      </c>
    </row>
    <row r="77" spans="1:70" x14ac:dyDescent="0.15">
      <c r="A77" s="2" t="s">
        <v>17</v>
      </c>
      <c r="C77" s="15">
        <f t="shared" ref="C77:AJ77" si="513">SUM(C72:C76)</f>
        <v>9756</v>
      </c>
      <c r="D77" s="16"/>
      <c r="E77" s="26">
        <f t="shared" si="461"/>
        <v>4.4075440754407502E-2</v>
      </c>
      <c r="F77" s="15">
        <f t="shared" si="513"/>
        <v>10186</v>
      </c>
      <c r="G77" s="16"/>
      <c r="H77" s="26">
        <f t="shared" si="462"/>
        <v>6.1751423522481863E-2</v>
      </c>
      <c r="I77" s="15">
        <f t="shared" si="513"/>
        <v>10815</v>
      </c>
      <c r="J77" s="16"/>
      <c r="K77" s="26">
        <f t="shared" ref="K77" si="514">(L77/I77)-1</f>
        <v>5.8437355524734169E-2</v>
      </c>
      <c r="L77" s="15">
        <f t="shared" si="513"/>
        <v>11447</v>
      </c>
      <c r="M77" s="16"/>
      <c r="N77" s="26">
        <f t="shared" ref="N77" si="515">(O77/L77)-1</f>
        <v>0.12911679916135221</v>
      </c>
      <c r="O77" s="15">
        <f t="shared" si="513"/>
        <v>12925</v>
      </c>
      <c r="P77" s="16"/>
      <c r="Q77" s="26">
        <f t="shared" ref="Q77" si="516">(R77/O77)-1</f>
        <v>8.4874274661508764E-2</v>
      </c>
      <c r="R77" s="15">
        <f t="shared" si="513"/>
        <v>14022</v>
      </c>
      <c r="S77" s="16"/>
      <c r="T77" s="26">
        <f t="shared" ref="T77" si="517">(U77/R77)-1</f>
        <v>5.1633147910426391E-2</v>
      </c>
      <c r="U77" s="15">
        <f t="shared" si="513"/>
        <v>14746</v>
      </c>
      <c r="V77" s="16"/>
      <c r="W77" s="26">
        <f t="shared" ref="W77" si="518">(X77/U77)-1</f>
        <v>4.7334870473348722E-2</v>
      </c>
      <c r="X77" s="15">
        <f t="shared" si="513"/>
        <v>15444</v>
      </c>
      <c r="Y77" s="16"/>
      <c r="Z77" s="26">
        <f t="shared" ref="Z77" si="519">(AA77/X77)-1</f>
        <v>4.7073297073296994E-2</v>
      </c>
      <c r="AA77" s="15">
        <f t="shared" si="513"/>
        <v>16171</v>
      </c>
      <c r="AB77" s="16"/>
      <c r="AC77" s="26">
        <f t="shared" ref="AC77" si="520">(AD77/AA77)-1</f>
        <v>4.7245068332199658E-2</v>
      </c>
      <c r="AD77" s="15">
        <f t="shared" si="513"/>
        <v>16935</v>
      </c>
      <c r="AE77" s="16"/>
      <c r="AF77" s="26">
        <f t="shared" si="470"/>
        <v>5.7927369353410141E-2</v>
      </c>
      <c r="AG77" s="15">
        <f t="shared" si="513"/>
        <v>17916</v>
      </c>
      <c r="AH77" s="16"/>
      <c r="AI77" s="26">
        <f t="shared" ref="AI77" si="521">(AJ77/AG77)-1</f>
        <v>6.6197812011609791E-2</v>
      </c>
      <c r="AJ77" s="15">
        <f t="shared" si="513"/>
        <v>19102</v>
      </c>
      <c r="AK77" s="16"/>
      <c r="AL77" s="26">
        <f t="shared" si="472"/>
        <v>2.4918856664223554E-2</v>
      </c>
      <c r="AM77" s="15">
        <f t="shared" ref="AM77" si="522">SUM(AM72:AM76)</f>
        <v>19578</v>
      </c>
      <c r="AN77" s="16"/>
      <c r="AO77" s="26">
        <f t="shared" si="473"/>
        <v>3.6367351108387069E-2</v>
      </c>
      <c r="AP77" s="15">
        <f t="shared" ref="AP77" si="523">SUM(AP72:AP76)</f>
        <v>20290</v>
      </c>
      <c r="AQ77" s="16"/>
      <c r="AR77" s="26">
        <f t="shared" si="474"/>
        <v>4.4898965007392766E-2</v>
      </c>
      <c r="AS77" s="15">
        <f t="shared" ref="AS77" si="524">SUM(AS72:AS76)</f>
        <v>21201</v>
      </c>
      <c r="AT77" s="16"/>
      <c r="AU77" s="26">
        <f t="shared" si="475"/>
        <v>1.9951889061836647E-2</v>
      </c>
      <c r="AV77" s="15">
        <f t="shared" ref="AV77" si="525">SUM(AV72:AV76)</f>
        <v>21624</v>
      </c>
      <c r="AW77" s="16"/>
      <c r="AX77" s="26">
        <f t="shared" si="476"/>
        <v>4.8187199408065151E-2</v>
      </c>
      <c r="AY77" s="15">
        <f t="shared" ref="AY77" si="526">SUM(AY72:AY76)</f>
        <v>22666</v>
      </c>
      <c r="AZ77" s="16"/>
      <c r="BA77" s="26">
        <f t="shared" si="477"/>
        <v>4.8089649695579384E-2</v>
      </c>
      <c r="BB77" s="15">
        <f t="shared" ref="BB77" si="527">SUM(BB72:BB76)</f>
        <v>23756</v>
      </c>
      <c r="BC77" s="16"/>
      <c r="BD77" s="26">
        <f t="shared" si="478"/>
        <v>8.9240612897794058E-3</v>
      </c>
      <c r="BE77" s="15">
        <f t="shared" ref="BE77" si="528">SUM(BE72:BE76)</f>
        <v>23968</v>
      </c>
      <c r="BF77" s="20"/>
      <c r="BG77" s="16"/>
      <c r="BH77" s="26">
        <f t="shared" si="479"/>
        <v>8.761682242990565E-3</v>
      </c>
      <c r="BI77" s="15">
        <f t="shared" ref="BI77" si="529">SUM(BI72:BI76)</f>
        <v>24178</v>
      </c>
      <c r="BK77" s="16"/>
      <c r="BL77" s="26">
        <f t="shared" si="480"/>
        <v>0</v>
      </c>
      <c r="BM77" s="15">
        <f t="shared" ref="BM77" si="530">SUM(BM72:BM76)</f>
        <v>24178</v>
      </c>
      <c r="BO77" s="19"/>
    </row>
    <row r="78" spans="1:70" x14ac:dyDescent="0.15">
      <c r="A78" s="2" t="s">
        <v>19</v>
      </c>
      <c r="C78" s="3">
        <v>3214</v>
      </c>
      <c r="E78" s="26">
        <f t="shared" si="461"/>
        <v>3.6714374611076517E-2</v>
      </c>
      <c r="F78" s="3">
        <v>3332</v>
      </c>
      <c r="H78" s="26">
        <f t="shared" si="462"/>
        <v>4.021608643457375E-2</v>
      </c>
      <c r="I78" s="3">
        <v>3466</v>
      </c>
      <c r="K78" s="26">
        <f t="shared" ref="K78" si="531">(L78/I78)-1</f>
        <v>4.0392383150605893E-2</v>
      </c>
      <c r="L78" s="3">
        <v>3606</v>
      </c>
      <c r="N78" s="26">
        <f t="shared" ref="N78" si="532">(O78/L78)-1</f>
        <v>4.991680532445919E-2</v>
      </c>
      <c r="O78" s="3">
        <v>3786</v>
      </c>
      <c r="Q78" s="26">
        <f t="shared" ref="Q78" si="533">(R78/O78)-1</f>
        <v>4.8071843634442724E-2</v>
      </c>
      <c r="R78" s="3">
        <v>3968</v>
      </c>
      <c r="T78" s="26">
        <f t="shared" ref="T78" si="534">(U78/R78)-1</f>
        <v>5.9979838709677491E-2</v>
      </c>
      <c r="U78" s="3">
        <v>4206</v>
      </c>
      <c r="W78" s="26">
        <f t="shared" ref="W78" si="535">(X78/U78)-1</f>
        <v>5.7536852116024662E-2</v>
      </c>
      <c r="X78" s="3">
        <v>4448</v>
      </c>
      <c r="Z78" s="26">
        <f t="shared" ref="Z78" si="536">(AA78/X78)-1</f>
        <v>5.755395683453246E-2</v>
      </c>
      <c r="AA78" s="3">
        <v>4704</v>
      </c>
      <c r="AC78" s="26">
        <f t="shared" ref="AC78" si="537">(AD78/AA78)-1</f>
        <v>5.7823129251700633E-2</v>
      </c>
      <c r="AD78" s="3">
        <v>4976</v>
      </c>
      <c r="AF78" s="26">
        <f t="shared" si="470"/>
        <v>5.7877813504823239E-2</v>
      </c>
      <c r="AG78" s="3">
        <v>5264</v>
      </c>
      <c r="AI78" s="26">
        <f t="shared" ref="AI78" si="538">(AJ78/AG78)-1</f>
        <v>5.0151975683890626E-2</v>
      </c>
      <c r="AJ78" s="3">
        <v>5528</v>
      </c>
      <c r="AL78" s="26">
        <f t="shared" si="472"/>
        <v>2.4963820549927629E-2</v>
      </c>
      <c r="AM78" s="3">
        <v>5666</v>
      </c>
      <c r="AO78" s="26">
        <f t="shared" si="473"/>
        <v>2.4708789269325848E-2</v>
      </c>
      <c r="AP78" s="3">
        <v>5806</v>
      </c>
      <c r="AR78" s="26">
        <f t="shared" si="474"/>
        <v>4.4781260764726216E-2</v>
      </c>
      <c r="AS78" s="3">
        <v>6066</v>
      </c>
      <c r="AU78" s="26">
        <f t="shared" si="475"/>
        <v>3.4948895483020159E-2</v>
      </c>
      <c r="AV78" s="3">
        <v>6278</v>
      </c>
      <c r="AX78" s="26">
        <f t="shared" si="476"/>
        <v>2.007008601465432E-2</v>
      </c>
      <c r="AY78" s="3">
        <f>$AY$18</f>
        <v>6404</v>
      </c>
      <c r="BA78" s="26">
        <f t="shared" si="477"/>
        <v>2.9356652092442204E-2</v>
      </c>
      <c r="BB78" s="3">
        <v>6592</v>
      </c>
      <c r="BD78" s="26">
        <f t="shared" si="478"/>
        <v>2.7912621359223344E-2</v>
      </c>
      <c r="BE78" s="3">
        <v>6776</v>
      </c>
      <c r="BH78" s="26">
        <f t="shared" si="479"/>
        <v>2.7302243211334121E-2</v>
      </c>
      <c r="BI78" s="3">
        <v>6961</v>
      </c>
      <c r="BL78" s="26">
        <f t="shared" si="480"/>
        <v>0</v>
      </c>
      <c r="BM78" s="3">
        <v>6961</v>
      </c>
    </row>
    <row r="79" spans="1:70" x14ac:dyDescent="0.15">
      <c r="A79" s="2" t="s">
        <v>18</v>
      </c>
      <c r="C79" s="3">
        <v>2408</v>
      </c>
      <c r="E79" s="26">
        <f t="shared" si="461"/>
        <v>2.1594684385382035E-2</v>
      </c>
      <c r="F79" s="3">
        <v>2460</v>
      </c>
      <c r="H79" s="26">
        <f t="shared" si="462"/>
        <v>2.9268292682926855E-2</v>
      </c>
      <c r="I79" s="3">
        <v>2532</v>
      </c>
      <c r="K79" s="26">
        <f t="shared" ref="K79" si="539">(L79/I79)-1</f>
        <v>4.2654028436019065E-2</v>
      </c>
      <c r="L79" s="3">
        <v>2640</v>
      </c>
      <c r="N79" s="26">
        <f t="shared" ref="N79" si="540">(O79/L79)-1</f>
        <v>9.0151515151515094E-2</v>
      </c>
      <c r="O79" s="3">
        <v>2878</v>
      </c>
      <c r="Q79" s="26">
        <f t="shared" ref="Q79" si="541">(R79/O79)-1</f>
        <v>5.0729673384294571E-2</v>
      </c>
      <c r="R79" s="3">
        <v>3024</v>
      </c>
      <c r="T79" s="26">
        <f t="shared" ref="T79" si="542">(U79/R79)-1</f>
        <v>6.0185185185185119E-2</v>
      </c>
      <c r="U79" s="3">
        <v>3206</v>
      </c>
      <c r="W79" s="26">
        <f t="shared" ref="W79" si="543">(X79/U79)-1</f>
        <v>5.9887710542732453E-2</v>
      </c>
      <c r="X79" s="3">
        <v>3398</v>
      </c>
      <c r="Z79" s="26">
        <f t="shared" ref="Z79" si="544">(AA79/X79)-1</f>
        <v>0</v>
      </c>
      <c r="AA79" s="3">
        <v>3398</v>
      </c>
      <c r="AC79" s="26">
        <f t="shared" ref="AC79" si="545">(AD79/AA79)-1</f>
        <v>5.885815185403187E-2</v>
      </c>
      <c r="AD79" s="3">
        <v>3598</v>
      </c>
      <c r="AF79" s="26">
        <f t="shared" si="470"/>
        <v>6.0033351862145645E-2</v>
      </c>
      <c r="AG79" s="3">
        <v>3814</v>
      </c>
      <c r="AI79" s="26">
        <f t="shared" ref="AI79" si="546">(AJ79/AG79)-1</f>
        <v>4.9816465652857911E-2</v>
      </c>
      <c r="AJ79" s="3">
        <v>4004</v>
      </c>
      <c r="AL79" s="26">
        <f t="shared" si="472"/>
        <v>2.4975024975024906E-2</v>
      </c>
      <c r="AM79" s="3">
        <v>4104</v>
      </c>
      <c r="AO79" s="26">
        <f t="shared" si="473"/>
        <v>2.4853801169590684E-2</v>
      </c>
      <c r="AP79" s="3">
        <v>4206</v>
      </c>
      <c r="AR79" s="26">
        <f t="shared" si="474"/>
        <v>4.5173561578697008E-2</v>
      </c>
      <c r="AS79" s="3">
        <v>4396</v>
      </c>
      <c r="AU79" s="26">
        <f t="shared" si="475"/>
        <v>3.5031847133758065E-2</v>
      </c>
      <c r="AV79" s="3">
        <v>4550</v>
      </c>
      <c r="AX79" s="26">
        <f t="shared" si="476"/>
        <v>2.9890109890109873E-2</v>
      </c>
      <c r="AY79" s="3">
        <f>$AY$19</f>
        <v>4686</v>
      </c>
      <c r="BA79" s="26">
        <f t="shared" si="477"/>
        <v>2.9876227059325577E-2</v>
      </c>
      <c r="BB79" s="3">
        <v>4826</v>
      </c>
      <c r="BD79" s="26">
        <f t="shared" si="478"/>
        <v>3.5225859925404057E-2</v>
      </c>
      <c r="BE79" s="3">
        <v>4996</v>
      </c>
      <c r="BH79" s="26">
        <f t="shared" si="479"/>
        <v>3.5228182546036768E-2</v>
      </c>
      <c r="BI79" s="3">
        <v>5172</v>
      </c>
      <c r="BL79" s="26">
        <f t="shared" si="480"/>
        <v>0</v>
      </c>
      <c r="BM79" s="3">
        <v>5172</v>
      </c>
    </row>
    <row r="80" spans="1:70" x14ac:dyDescent="0.15">
      <c r="A80" s="2" t="s">
        <v>20</v>
      </c>
      <c r="C80" s="3">
        <v>30</v>
      </c>
      <c r="E80" s="26">
        <f t="shared" si="461"/>
        <v>6.6666666666666652E-2</v>
      </c>
      <c r="F80" s="3">
        <v>32</v>
      </c>
      <c r="H80" s="26">
        <f t="shared" si="462"/>
        <v>6.25E-2</v>
      </c>
      <c r="I80" s="3">
        <v>34</v>
      </c>
      <c r="K80" s="26">
        <f t="shared" ref="K80" si="547">(L80/I80)-1</f>
        <v>0</v>
      </c>
      <c r="L80" s="3">
        <v>34</v>
      </c>
      <c r="N80" s="26">
        <f t="shared" ref="N80" si="548">(O80/L80)-1</f>
        <v>0.17647058823529416</v>
      </c>
      <c r="O80" s="3">
        <v>40</v>
      </c>
      <c r="Q80" s="26">
        <f t="shared" ref="Q80" si="549">(R80/O80)-1</f>
        <v>0.10000000000000009</v>
      </c>
      <c r="R80" s="3">
        <v>44</v>
      </c>
      <c r="T80" s="26">
        <f t="shared" ref="T80" si="550">(U80/R80)-1</f>
        <v>0</v>
      </c>
      <c r="U80" s="3">
        <v>44</v>
      </c>
      <c r="W80" s="26">
        <f t="shared" ref="W80" si="551">(X80/U80)-1</f>
        <v>0</v>
      </c>
      <c r="X80" s="3">
        <v>44</v>
      </c>
      <c r="Z80" s="26">
        <f t="shared" ref="Z80" si="552">(AA80/X80)-1</f>
        <v>0</v>
      </c>
      <c r="AA80" s="3">
        <v>44</v>
      </c>
      <c r="AC80" s="26">
        <f t="shared" ref="AC80" si="553">(AD80/AA80)-1</f>
        <v>0</v>
      </c>
      <c r="AD80" s="3">
        <v>44</v>
      </c>
      <c r="AF80" s="26">
        <f t="shared" si="470"/>
        <v>0</v>
      </c>
      <c r="AG80" s="3">
        <v>44</v>
      </c>
      <c r="AI80" s="26">
        <f t="shared" ref="AI80" si="554">(AJ80/AG80)-1</f>
        <v>0</v>
      </c>
      <c r="AJ80" s="3">
        <v>44</v>
      </c>
      <c r="AL80" s="26">
        <f t="shared" si="472"/>
        <v>0</v>
      </c>
      <c r="AM80" s="3">
        <v>44</v>
      </c>
      <c r="AO80" s="26">
        <f t="shared" si="473"/>
        <v>0</v>
      </c>
      <c r="AP80" s="3">
        <v>44</v>
      </c>
      <c r="AR80" s="26">
        <f t="shared" si="474"/>
        <v>0</v>
      </c>
      <c r="AS80" s="3">
        <v>44</v>
      </c>
      <c r="AU80" s="26">
        <f t="shared" si="475"/>
        <v>0</v>
      </c>
      <c r="AV80" s="3">
        <v>44</v>
      </c>
      <c r="AX80" s="26">
        <f t="shared" si="476"/>
        <v>0</v>
      </c>
      <c r="AY80" s="3">
        <f>$AY$20</f>
        <v>44</v>
      </c>
      <c r="BA80" s="26">
        <f t="shared" si="477"/>
        <v>0</v>
      </c>
      <c r="BB80" s="3">
        <v>44</v>
      </c>
      <c r="BD80" s="26">
        <f t="shared" si="478"/>
        <v>0</v>
      </c>
      <c r="BE80" s="3">
        <v>44</v>
      </c>
      <c r="BH80" s="26">
        <f t="shared" si="479"/>
        <v>0</v>
      </c>
      <c r="BI80" s="3">
        <v>44</v>
      </c>
      <c r="BL80" s="26">
        <f t="shared" si="480"/>
        <v>0</v>
      </c>
      <c r="BM80" s="3">
        <v>44</v>
      </c>
    </row>
    <row r="81" spans="1:70" ht="14" thickBot="1" x14ac:dyDescent="0.2">
      <c r="A81" s="2" t="s">
        <v>21</v>
      </c>
      <c r="C81" s="22">
        <f>SUM(C77:C80)</f>
        <v>15408</v>
      </c>
      <c r="D81" s="16"/>
      <c r="E81" s="26">
        <f t="shared" si="461"/>
        <v>3.9070612668743454E-2</v>
      </c>
      <c r="F81" s="22">
        <f t="shared" ref="F81:AJ81" si="555">SUM(F77:F80)</f>
        <v>16010</v>
      </c>
      <c r="G81" s="16"/>
      <c r="H81" s="26">
        <f t="shared" si="462"/>
        <v>5.2279825109306621E-2</v>
      </c>
      <c r="I81" s="22">
        <f t="shared" si="555"/>
        <v>16847</v>
      </c>
      <c r="J81" s="16"/>
      <c r="K81" s="26">
        <f t="shared" ref="K81" si="556">(L81/I81)-1</f>
        <v>5.2234819255653875E-2</v>
      </c>
      <c r="L81" s="22">
        <f t="shared" si="555"/>
        <v>17727</v>
      </c>
      <c r="M81" s="16"/>
      <c r="N81" s="26">
        <f t="shared" ref="N81" si="557">(O81/L81)-1</f>
        <v>0.10729395836859035</v>
      </c>
      <c r="O81" s="22">
        <f t="shared" si="555"/>
        <v>19629</v>
      </c>
      <c r="P81" s="16"/>
      <c r="Q81" s="26">
        <f t="shared" ref="Q81" si="558">(R81/O81)-1</f>
        <v>7.2800448316266753E-2</v>
      </c>
      <c r="R81" s="22">
        <f t="shared" si="555"/>
        <v>21058</v>
      </c>
      <c r="S81" s="16"/>
      <c r="T81" s="26">
        <f t="shared" ref="T81" si="559">(U81/R81)-1</f>
        <v>5.4326146832557765E-2</v>
      </c>
      <c r="U81" s="22">
        <f t="shared" si="555"/>
        <v>22202</v>
      </c>
      <c r="V81" s="16"/>
      <c r="W81" s="26">
        <f t="shared" ref="W81" si="560">(X81/U81)-1</f>
        <v>5.0986397621835877E-2</v>
      </c>
      <c r="X81" s="22">
        <f t="shared" si="555"/>
        <v>23334</v>
      </c>
      <c r="Y81" s="16"/>
      <c r="Z81" s="26">
        <f t="shared" ref="Z81" si="561">(AA81/X81)-1</f>
        <v>4.2127367789491776E-2</v>
      </c>
      <c r="AA81" s="22">
        <f t="shared" si="555"/>
        <v>24317</v>
      </c>
      <c r="AB81" s="16"/>
      <c r="AC81" s="26">
        <f t="shared" ref="AC81" si="562">(AD81/AA81)-1</f>
        <v>5.0828638401118509E-2</v>
      </c>
      <c r="AD81" s="22">
        <f t="shared" si="555"/>
        <v>25553</v>
      </c>
      <c r="AE81" s="16"/>
      <c r="AF81" s="26">
        <f t="shared" si="470"/>
        <v>5.8114507102884128E-2</v>
      </c>
      <c r="AG81" s="22">
        <f t="shared" si="555"/>
        <v>27038</v>
      </c>
      <c r="AH81" s="16"/>
      <c r="AI81" s="26">
        <f t="shared" ref="AI81" si="563">(AJ81/AG81)-1</f>
        <v>6.0655373918189204E-2</v>
      </c>
      <c r="AJ81" s="22">
        <f t="shared" si="555"/>
        <v>28678</v>
      </c>
      <c r="AK81" s="16"/>
      <c r="AL81" s="26">
        <f t="shared" si="472"/>
        <v>2.4897133691331286E-2</v>
      </c>
      <c r="AM81" s="22">
        <f t="shared" ref="AM81" si="564">SUM(AM77:AM80)</f>
        <v>29392</v>
      </c>
      <c r="AN81" s="16"/>
      <c r="AO81" s="26">
        <f t="shared" si="473"/>
        <v>3.2457811649428514E-2</v>
      </c>
      <c r="AP81" s="22">
        <f t="shared" ref="AP81" si="565">SUM(AP77:AP80)</f>
        <v>30346</v>
      </c>
      <c r="AQ81" s="16"/>
      <c r="AR81" s="26">
        <f t="shared" si="474"/>
        <v>4.4849403545772049E-2</v>
      </c>
      <c r="AS81" s="22">
        <f t="shared" ref="AS81" si="566">SUM(AS77:AS80)</f>
        <v>31707</v>
      </c>
      <c r="AT81" s="16"/>
      <c r="AU81" s="26">
        <f t="shared" si="475"/>
        <v>2.4884094994796158E-2</v>
      </c>
      <c r="AV81" s="22">
        <f t="shared" ref="AV81" si="567">SUM(AV77:AV80)</f>
        <v>32496</v>
      </c>
      <c r="AW81" s="16"/>
      <c r="AX81" s="26">
        <f t="shared" si="476"/>
        <v>4.0128015755785285E-2</v>
      </c>
      <c r="AY81" s="22">
        <f t="shared" ref="AY81" si="568">SUM(AY77:AY80)</f>
        <v>33800</v>
      </c>
      <c r="AZ81" s="16"/>
      <c r="BA81" s="26">
        <f t="shared" si="477"/>
        <v>4.1952662721893574E-2</v>
      </c>
      <c r="BB81" s="22">
        <f t="shared" ref="BB81" si="569">SUM(BB77:BB80)</f>
        <v>35218</v>
      </c>
      <c r="BC81" s="16"/>
      <c r="BD81" s="26">
        <f t="shared" si="478"/>
        <v>1.6071327162246574E-2</v>
      </c>
      <c r="BE81" s="22">
        <f t="shared" ref="BE81" si="570">SUM(BE77:BE80)</f>
        <v>35784</v>
      </c>
      <c r="BF81" s="20"/>
      <c r="BG81" s="16"/>
      <c r="BH81" s="26">
        <f t="shared" si="479"/>
        <v>1.5956852224457752E-2</v>
      </c>
      <c r="BI81" s="22">
        <f t="shared" ref="BI81" si="571">SUM(BI77:BI80)</f>
        <v>36355</v>
      </c>
      <c r="BK81" s="16"/>
      <c r="BL81" s="26">
        <f t="shared" si="480"/>
        <v>0</v>
      </c>
      <c r="BM81" s="22">
        <f t="shared" ref="BM81" si="572">SUM(BM77:BM80)</f>
        <v>36355</v>
      </c>
      <c r="BO81" s="19"/>
      <c r="BP81" s="22">
        <f>SUM(BP72:BP80)</f>
        <v>21346</v>
      </c>
      <c r="BQ81" s="22">
        <f>SUM(BQ72:BQ80)</f>
        <v>21492</v>
      </c>
      <c r="BR81" s="22">
        <f>SUM(BR72:BR80)</f>
        <v>-430</v>
      </c>
    </row>
    <row r="82" spans="1:70" ht="14" thickTop="1" x14ac:dyDescent="0.15"/>
    <row r="83" spans="1:70" x14ac:dyDescent="0.15">
      <c r="A83" s="12" t="s">
        <v>23</v>
      </c>
    </row>
    <row r="84" spans="1:70" x14ac:dyDescent="0.15">
      <c r="A84" s="2" t="s">
        <v>13</v>
      </c>
      <c r="C84" s="3">
        <v>3852</v>
      </c>
      <c r="E84" s="26">
        <f t="shared" ref="E84:E93" si="573">(F84/C84)-1</f>
        <v>3.8940809968847301E-2</v>
      </c>
      <c r="F84" s="3">
        <v>4002</v>
      </c>
      <c r="H84" s="26">
        <f t="shared" ref="H84:H93" si="574">(I84/F84)-1</f>
        <v>3.8980509745127456E-2</v>
      </c>
      <c r="I84" s="3">
        <v>4158</v>
      </c>
      <c r="K84" s="26">
        <f t="shared" ref="K84" si="575">(L84/I84)-1</f>
        <v>3.8961038961038863E-2</v>
      </c>
      <c r="L84" s="3">
        <v>4320</v>
      </c>
      <c r="N84" s="26">
        <f t="shared" ref="N84" si="576">(O84/L84)-1</f>
        <v>0.14513888888888893</v>
      </c>
      <c r="O84" s="3">
        <v>4947</v>
      </c>
      <c r="Q84" s="26">
        <f t="shared" ref="Q84" si="577">(R84/O84)-1</f>
        <v>8.1059227814837209E-2</v>
      </c>
      <c r="R84" s="3">
        <v>5348</v>
      </c>
      <c r="T84" s="26">
        <f t="shared" ref="T84" si="578">(U84/R84)-1</f>
        <v>6.0022438294689673E-2</v>
      </c>
      <c r="U84" s="3">
        <v>5669</v>
      </c>
      <c r="W84" s="26">
        <f t="shared" ref="W84" si="579">(X84/U84)-1</f>
        <v>5.0449814782148605E-2</v>
      </c>
      <c r="X84" s="3">
        <v>5955</v>
      </c>
      <c r="Z84" s="26">
        <f t="shared" ref="Z84" si="580">(AA84/X84)-1</f>
        <v>5.0041981528127666E-2</v>
      </c>
      <c r="AA84" s="3">
        <v>6253</v>
      </c>
      <c r="AC84" s="26">
        <f t="shared" ref="AC84" si="581">(AD84/AA84)-1</f>
        <v>5.0055973132896225E-2</v>
      </c>
      <c r="AD84" s="3">
        <v>6566</v>
      </c>
      <c r="AF84" s="26">
        <f t="shared" ref="AF84:AF93" si="582">(AG84/AD84)-1</f>
        <v>6.5184282668291127E-2</v>
      </c>
      <c r="AG84" s="3">
        <v>6994</v>
      </c>
      <c r="AI84" s="26">
        <f t="shared" ref="AI84" si="583">(AJ84/AG84)-1</f>
        <v>7.5064340863597367E-2</v>
      </c>
      <c r="AJ84" s="3">
        <v>7519</v>
      </c>
      <c r="AL84" s="26">
        <f t="shared" ref="AL84:AL93" si="584">(AM84/AJ84)-1</f>
        <v>2.5003324910227498E-2</v>
      </c>
      <c r="AM84" s="3">
        <v>7707</v>
      </c>
      <c r="AO84" s="26">
        <f t="shared" ref="AO84:AO93" si="585">(AP84/AM84)-1</f>
        <v>3.9055404178020003E-2</v>
      </c>
      <c r="AP84" s="3">
        <v>8008</v>
      </c>
      <c r="AR84" s="26">
        <f t="shared" ref="AR84:AR93" si="586">(AS84/AP84)-1</f>
        <v>5.2447552447552503E-2</v>
      </c>
      <c r="AS84" s="3">
        <v>8428</v>
      </c>
      <c r="AU84" s="26">
        <f t="shared" ref="AU84:AU93" si="587">(AV84/AS84)-1</f>
        <v>1.9933554817275656E-2</v>
      </c>
      <c r="AV84" s="3">
        <v>8596</v>
      </c>
      <c r="AX84" s="26">
        <f t="shared" ref="AX84:AX93" si="588">(AY84/AV84)-1</f>
        <v>8.0037226617031276E-2</v>
      </c>
      <c r="AY84" s="3">
        <v>9284</v>
      </c>
      <c r="BA84" s="26">
        <f t="shared" ref="BA84:BA93" si="589">(BB84/AY84)-1</f>
        <v>4.9978457561395961E-2</v>
      </c>
      <c r="BB84" s="3">
        <v>9748</v>
      </c>
      <c r="BD84" s="26">
        <f t="shared" ref="BD84:BD93" si="590">(BE84/BB84)-1</f>
        <v>2.0517029134170528E-4</v>
      </c>
      <c r="BE84" s="3">
        <v>9750</v>
      </c>
      <c r="BF84" s="4">
        <v>-1</v>
      </c>
      <c r="BH84" s="26">
        <f t="shared" ref="BH84:BH93" si="591">(BI84/BE84)-1</f>
        <v>0</v>
      </c>
      <c r="BI84" s="3">
        <v>9750</v>
      </c>
      <c r="BJ84" s="4">
        <v>-1</v>
      </c>
      <c r="BL84" s="26">
        <f t="shared" ref="BL84:BL93" si="592">(BM84/BI84)-1</f>
        <v>0</v>
      </c>
      <c r="BM84" s="3">
        <v>9750</v>
      </c>
      <c r="BN84" s="4">
        <v>-1</v>
      </c>
      <c r="BP84" s="3">
        <f>BE84</f>
        <v>9750</v>
      </c>
      <c r="BQ84" s="3">
        <f>BI84</f>
        <v>9750</v>
      </c>
      <c r="BR84" s="3">
        <f>BJ84</f>
        <v>-1</v>
      </c>
    </row>
    <row r="85" spans="1:70" x14ac:dyDescent="0.15">
      <c r="A85" s="2" t="s">
        <v>14</v>
      </c>
      <c r="C85" s="3">
        <v>637</v>
      </c>
      <c r="E85" s="26">
        <f t="shared" si="573"/>
        <v>3.4536891679748827E-2</v>
      </c>
      <c r="F85" s="3">
        <v>659</v>
      </c>
      <c r="H85" s="26">
        <f t="shared" si="574"/>
        <v>3.4901365705614529E-2</v>
      </c>
      <c r="I85" s="3">
        <v>682</v>
      </c>
      <c r="K85" s="26">
        <f t="shared" ref="K85" si="593">(L85/I85)-1</f>
        <v>3.5190615835777095E-2</v>
      </c>
      <c r="L85" s="3">
        <v>706</v>
      </c>
      <c r="N85" s="26">
        <f t="shared" ref="N85" si="594">(O85/L85)-1</f>
        <v>3.6827195467422191E-2</v>
      </c>
      <c r="O85" s="3">
        <v>732</v>
      </c>
      <c r="Q85" s="26">
        <f t="shared" ref="Q85" si="595">(R85/O85)-1</f>
        <v>4.508196721311486E-2</v>
      </c>
      <c r="R85" s="3">
        <v>765</v>
      </c>
      <c r="T85" s="26">
        <f t="shared" ref="T85" si="596">(U85/R85)-1</f>
        <v>3.529411764705892E-2</v>
      </c>
      <c r="U85" s="3">
        <v>792</v>
      </c>
      <c r="W85" s="26">
        <f t="shared" ref="W85" si="597">(X85/U85)-1</f>
        <v>3.5353535353535248E-2</v>
      </c>
      <c r="X85" s="3">
        <v>820</v>
      </c>
      <c r="Z85" s="26">
        <f t="shared" ref="Z85" si="598">(AA85/X85)-1</f>
        <v>3.5365853658536617E-2</v>
      </c>
      <c r="AA85" s="3">
        <v>849</v>
      </c>
      <c r="AC85" s="26">
        <f t="shared" ref="AC85" si="599">(AD85/AA85)-1</f>
        <v>3.5335689045936425E-2</v>
      </c>
      <c r="AD85" s="3">
        <v>879</v>
      </c>
      <c r="AF85" s="26">
        <f t="shared" si="582"/>
        <v>3.5267349260523329E-2</v>
      </c>
      <c r="AG85" s="3">
        <v>910</v>
      </c>
      <c r="AI85" s="26">
        <f t="shared" ref="AI85" si="600">(AJ85/AG85)-1</f>
        <v>3.5164835164835262E-2</v>
      </c>
      <c r="AJ85" s="3">
        <v>942</v>
      </c>
      <c r="AL85" s="26">
        <f t="shared" si="584"/>
        <v>2.5477707006369421E-2</v>
      </c>
      <c r="AM85" s="3">
        <v>966</v>
      </c>
      <c r="AO85" s="26">
        <f t="shared" si="585"/>
        <v>3.5196687370600444E-2</v>
      </c>
      <c r="AP85" s="3">
        <v>1000</v>
      </c>
      <c r="AR85" s="26">
        <f t="shared" si="586"/>
        <v>3.0000000000000027E-2</v>
      </c>
      <c r="AS85" s="3">
        <v>1030</v>
      </c>
      <c r="AU85" s="26">
        <f t="shared" si="587"/>
        <v>2.0388349514563142E-2</v>
      </c>
      <c r="AV85" s="3">
        <v>1051</v>
      </c>
      <c r="AX85" s="26">
        <f t="shared" si="588"/>
        <v>-0.20076117982873454</v>
      </c>
      <c r="AY85" s="3">
        <v>840</v>
      </c>
      <c r="BA85" s="26">
        <f t="shared" si="589"/>
        <v>2.9761904761904656E-2</v>
      </c>
      <c r="BB85" s="3">
        <v>865</v>
      </c>
      <c r="BD85" s="26">
        <f t="shared" si="590"/>
        <v>3.0057803468208188E-2</v>
      </c>
      <c r="BE85" s="3">
        <v>891</v>
      </c>
      <c r="BH85" s="26">
        <f t="shared" si="591"/>
        <v>3.0303030303030276E-2</v>
      </c>
      <c r="BI85" s="3">
        <v>918</v>
      </c>
      <c r="BJ85" s="4"/>
      <c r="BL85" s="26">
        <f t="shared" si="592"/>
        <v>0</v>
      </c>
      <c r="BM85" s="3">
        <v>918</v>
      </c>
      <c r="BN85" s="4"/>
      <c r="BP85" s="4"/>
    </row>
    <row r="86" spans="1:70" x14ac:dyDescent="0.15">
      <c r="A86" s="2" t="s">
        <v>15</v>
      </c>
      <c r="C86" s="3">
        <f>850+125</f>
        <v>975</v>
      </c>
      <c r="E86" s="26">
        <f t="shared" si="573"/>
        <v>9.1282051282051357E-2</v>
      </c>
      <c r="F86" s="3">
        <f>939+125</f>
        <v>1064</v>
      </c>
      <c r="H86" s="26">
        <f t="shared" si="574"/>
        <v>0.25751879699248126</v>
      </c>
      <c r="I86" s="3">
        <f>1188+150</f>
        <v>1338</v>
      </c>
      <c r="K86" s="26">
        <f t="shared" ref="K86" si="601">(L86/I86)-1</f>
        <v>0.20328849028400597</v>
      </c>
      <c r="L86" s="3">
        <f>1410+200</f>
        <v>1610</v>
      </c>
      <c r="N86" s="26">
        <f t="shared" ref="N86" si="602">(O86/L86)-1</f>
        <v>0.15714285714285725</v>
      </c>
      <c r="O86" s="3">
        <f>1645+218</f>
        <v>1863</v>
      </c>
      <c r="Q86" s="26">
        <f t="shared" ref="Q86" si="603">(R86/O86)-1</f>
        <v>0.1460010735373054</v>
      </c>
      <c r="R86" s="3">
        <f>1917+218</f>
        <v>2135</v>
      </c>
      <c r="T86" s="26">
        <f t="shared" ref="T86" si="604">(U86/R86)-1</f>
        <v>2.9039812646370011E-2</v>
      </c>
      <c r="U86" s="3">
        <f>1974+223</f>
        <v>2197</v>
      </c>
      <c r="W86" s="26">
        <f t="shared" ref="W86" si="605">(X86/U86)-1</f>
        <v>4.4606281292671746E-2</v>
      </c>
      <c r="X86" s="3">
        <f>2072+223</f>
        <v>2295</v>
      </c>
      <c r="Z86" s="26">
        <f t="shared" ref="Z86" si="606">(AA86/X86)-1</f>
        <v>4.5315904139433538E-2</v>
      </c>
      <c r="AA86" s="3">
        <f>2176+223</f>
        <v>2399</v>
      </c>
      <c r="AC86" s="26">
        <f t="shared" ref="AC86" si="607">(AD86/AA86)-1</f>
        <v>4.5852438516048366E-2</v>
      </c>
      <c r="AD86" s="3">
        <f>2286+223</f>
        <v>2509</v>
      </c>
      <c r="AF86" s="26">
        <f t="shared" si="582"/>
        <v>4.5037863690713387E-2</v>
      </c>
      <c r="AG86" s="3">
        <v>2622</v>
      </c>
      <c r="AI86" s="26">
        <f t="shared" ref="AI86" si="608">(AJ86/AG86)-1</f>
        <v>5.1106025934401167E-2</v>
      </c>
      <c r="AJ86" s="3">
        <v>2756</v>
      </c>
      <c r="AL86" s="26">
        <f t="shared" si="584"/>
        <v>2.503628447024675E-2</v>
      </c>
      <c r="AM86" s="3">
        <v>2825</v>
      </c>
      <c r="AO86" s="26">
        <f t="shared" si="585"/>
        <v>2.5132743362831889E-2</v>
      </c>
      <c r="AP86" s="3">
        <v>2896</v>
      </c>
      <c r="AR86" s="26">
        <f t="shared" si="586"/>
        <v>4.4889502762430977E-2</v>
      </c>
      <c r="AS86" s="3">
        <v>3026</v>
      </c>
      <c r="AU86" s="26">
        <f t="shared" si="587"/>
        <v>1.9828155981493678E-2</v>
      </c>
      <c r="AV86" s="3">
        <v>3086</v>
      </c>
      <c r="AX86" s="26">
        <f t="shared" si="588"/>
        <v>8.6195722618276127E-2</v>
      </c>
      <c r="AY86" s="3">
        <v>3352</v>
      </c>
      <c r="BA86" s="26">
        <f t="shared" si="589"/>
        <v>5.0119331742243478E-2</v>
      </c>
      <c r="BB86" s="3">
        <v>3520</v>
      </c>
      <c r="BD86" s="26">
        <f t="shared" si="590"/>
        <v>4.2613636363636465E-2</v>
      </c>
      <c r="BE86" s="3">
        <v>3670</v>
      </c>
      <c r="BF86" s="4">
        <v>-2</v>
      </c>
      <c r="BH86" s="26">
        <f t="shared" si="591"/>
        <v>3.9782016348773874E-2</v>
      </c>
      <c r="BI86" s="3">
        <v>3816</v>
      </c>
      <c r="BJ86" s="4">
        <v>-3</v>
      </c>
      <c r="BL86" s="26">
        <f t="shared" si="592"/>
        <v>0</v>
      </c>
      <c r="BM86" s="3">
        <v>3816</v>
      </c>
      <c r="BN86" s="4">
        <v>-3</v>
      </c>
      <c r="BP86" s="3">
        <f>BE86-68-125-10-223</f>
        <v>3244</v>
      </c>
      <c r="BQ86" s="3">
        <f>BI86-68-125-10-223</f>
        <v>3390</v>
      </c>
      <c r="BR86" s="3">
        <f>BJ86-68-125-10-223</f>
        <v>-429</v>
      </c>
    </row>
    <row r="87" spans="1:70" x14ac:dyDescent="0.15">
      <c r="A87" s="2" t="s">
        <v>16</v>
      </c>
      <c r="C87" s="3">
        <v>60</v>
      </c>
      <c r="E87" s="26">
        <f t="shared" si="573"/>
        <v>0.10000000000000009</v>
      </c>
      <c r="F87" s="3">
        <v>66</v>
      </c>
      <c r="H87" s="26">
        <f t="shared" si="574"/>
        <v>0.1212121212121211</v>
      </c>
      <c r="I87" s="3">
        <v>74</v>
      </c>
      <c r="K87" s="26">
        <f t="shared" ref="K87" si="609">(L87/I87)-1</f>
        <v>0</v>
      </c>
      <c r="L87" s="3">
        <v>74</v>
      </c>
      <c r="N87" s="26">
        <f t="shared" ref="N87" si="610">(O87/L87)-1</f>
        <v>0</v>
      </c>
      <c r="O87" s="3">
        <v>74</v>
      </c>
      <c r="Q87" s="26">
        <f t="shared" ref="Q87" si="611">(R87/O87)-1</f>
        <v>0</v>
      </c>
      <c r="R87" s="3">
        <v>74</v>
      </c>
      <c r="T87" s="26">
        <f t="shared" ref="T87" si="612">(U87/R87)-1</f>
        <v>0</v>
      </c>
      <c r="U87" s="3">
        <v>74</v>
      </c>
      <c r="W87" s="26">
        <f t="shared" ref="W87" si="613">(X87/U87)-1</f>
        <v>0</v>
      </c>
      <c r="X87" s="3">
        <v>74</v>
      </c>
      <c r="Z87" s="26">
        <f t="shared" ref="Z87" si="614">(AA87/X87)-1</f>
        <v>0</v>
      </c>
      <c r="AA87" s="3">
        <v>74</v>
      </c>
      <c r="AC87" s="26">
        <f t="shared" ref="AC87" si="615">(AD87/AA87)-1</f>
        <v>0</v>
      </c>
      <c r="AD87" s="3">
        <v>74</v>
      </c>
      <c r="AF87" s="26">
        <f t="shared" si="582"/>
        <v>0</v>
      </c>
      <c r="AG87" s="3">
        <v>74</v>
      </c>
      <c r="AI87" s="26">
        <f t="shared" ref="AI87" si="616">(AJ87/AG87)-1</f>
        <v>0</v>
      </c>
      <c r="AJ87" s="3">
        <v>74</v>
      </c>
      <c r="AL87" s="26">
        <f t="shared" si="584"/>
        <v>0</v>
      </c>
      <c r="AM87" s="3">
        <v>74</v>
      </c>
      <c r="AO87" s="26">
        <f t="shared" si="585"/>
        <v>0</v>
      </c>
      <c r="AP87" s="3">
        <v>74</v>
      </c>
      <c r="AR87" s="26">
        <f t="shared" si="586"/>
        <v>0</v>
      </c>
      <c r="AS87" s="3">
        <v>74</v>
      </c>
      <c r="AU87" s="26">
        <f t="shared" si="587"/>
        <v>0</v>
      </c>
      <c r="AV87" s="3">
        <v>74</v>
      </c>
      <c r="AX87" s="26">
        <f t="shared" si="588"/>
        <v>0</v>
      </c>
      <c r="AY87" s="3">
        <v>74</v>
      </c>
      <c r="BA87" s="26">
        <f t="shared" si="589"/>
        <v>0</v>
      </c>
      <c r="BB87" s="3">
        <v>74</v>
      </c>
      <c r="BD87" s="26">
        <f t="shared" si="590"/>
        <v>0</v>
      </c>
      <c r="BE87" s="3">
        <v>74</v>
      </c>
      <c r="BH87" s="26">
        <f t="shared" si="591"/>
        <v>0</v>
      </c>
      <c r="BI87" s="3">
        <v>74</v>
      </c>
      <c r="BL87" s="26">
        <f t="shared" si="592"/>
        <v>0</v>
      </c>
      <c r="BM87" s="3">
        <v>74</v>
      </c>
    </row>
    <row r="88" spans="1:70" x14ac:dyDescent="0.15">
      <c r="A88" s="2" t="s">
        <v>28</v>
      </c>
      <c r="E88" s="26" t="e">
        <f t="shared" si="573"/>
        <v>#DIV/0!</v>
      </c>
      <c r="H88" s="26" t="e">
        <f t="shared" si="574"/>
        <v>#DIV/0!</v>
      </c>
      <c r="K88" s="26" t="e">
        <f t="shared" ref="K88" si="617">(L88/I88)-1</f>
        <v>#DIV/0!</v>
      </c>
      <c r="L88" s="3">
        <v>0</v>
      </c>
      <c r="N88" s="26" t="e">
        <f t="shared" ref="N88" si="618">(O88/L88)-1</f>
        <v>#DIV/0!</v>
      </c>
      <c r="O88" s="3">
        <v>0</v>
      </c>
      <c r="Q88" s="26" t="e">
        <f t="shared" ref="Q88" si="619">(R88/O88)-1</f>
        <v>#DIV/0!</v>
      </c>
      <c r="R88" s="3">
        <v>0</v>
      </c>
      <c r="T88" s="26" t="e">
        <f t="shared" ref="T88" si="620">(U88/R88)-1</f>
        <v>#DIV/0!</v>
      </c>
      <c r="U88" s="3">
        <v>0</v>
      </c>
      <c r="W88" s="26" t="e">
        <f t="shared" ref="W88" si="621">(X88/U88)-1</f>
        <v>#DIV/0!</v>
      </c>
      <c r="X88" s="3">
        <v>0</v>
      </c>
      <c r="Z88" s="26" t="e">
        <f t="shared" ref="Z88" si="622">(AA88/X88)-1</f>
        <v>#DIV/0!</v>
      </c>
      <c r="AA88" s="3">
        <v>0</v>
      </c>
      <c r="AC88" s="26" t="e">
        <f t="shared" ref="AC88" si="623">(AD88/AA88)-1</f>
        <v>#DIV/0!</v>
      </c>
      <c r="AD88" s="3">
        <v>0</v>
      </c>
      <c r="AF88" s="26" t="e">
        <f t="shared" si="582"/>
        <v>#DIV/0!</v>
      </c>
      <c r="AG88" s="3">
        <v>0</v>
      </c>
      <c r="AI88" s="26" t="e">
        <f t="shared" ref="AI88" si="624">(AJ88/AG88)-1</f>
        <v>#DIV/0!</v>
      </c>
      <c r="AJ88" s="3">
        <v>0</v>
      </c>
      <c r="AL88" s="26" t="e">
        <f t="shared" si="584"/>
        <v>#DIV/0!</v>
      </c>
      <c r="AM88" s="3">
        <v>0</v>
      </c>
      <c r="AO88" s="26" t="e">
        <f t="shared" si="585"/>
        <v>#DIV/0!</v>
      </c>
      <c r="AP88" s="3">
        <v>0</v>
      </c>
      <c r="AR88" s="26" t="e">
        <f t="shared" si="586"/>
        <v>#DIV/0!</v>
      </c>
      <c r="AS88" s="3">
        <v>0</v>
      </c>
      <c r="AU88" s="26" t="e">
        <f t="shared" si="587"/>
        <v>#DIV/0!</v>
      </c>
      <c r="AV88" s="3">
        <v>0</v>
      </c>
      <c r="AX88" s="26" t="e">
        <f t="shared" si="588"/>
        <v>#DIV/0!</v>
      </c>
      <c r="AY88" s="3">
        <v>0</v>
      </c>
      <c r="BA88" s="26" t="e">
        <f t="shared" si="589"/>
        <v>#DIV/0!</v>
      </c>
      <c r="BB88" s="3">
        <v>0</v>
      </c>
      <c r="BD88" s="26" t="e">
        <f t="shared" si="590"/>
        <v>#DIV/0!</v>
      </c>
      <c r="BE88" s="3">
        <v>0</v>
      </c>
      <c r="BH88" s="26" t="e">
        <f t="shared" si="591"/>
        <v>#DIV/0!</v>
      </c>
      <c r="BI88" s="3">
        <v>0</v>
      </c>
      <c r="BL88" s="26" t="e">
        <f t="shared" si="592"/>
        <v>#DIV/0!</v>
      </c>
      <c r="BM88" s="3">
        <v>0</v>
      </c>
    </row>
    <row r="89" spans="1:70" x14ac:dyDescent="0.15">
      <c r="A89" s="2" t="s">
        <v>17</v>
      </c>
      <c r="C89" s="15">
        <f t="shared" ref="C89:AJ89" si="625">SUM(C84:C88)</f>
        <v>5524</v>
      </c>
      <c r="D89" s="16"/>
      <c r="E89" s="26">
        <f t="shared" si="573"/>
        <v>4.8334540188269326E-2</v>
      </c>
      <c r="F89" s="15">
        <f t="shared" si="625"/>
        <v>5791</v>
      </c>
      <c r="G89" s="16"/>
      <c r="H89" s="26">
        <f t="shared" si="574"/>
        <v>7.9606285615610339E-2</v>
      </c>
      <c r="I89" s="15">
        <f t="shared" si="625"/>
        <v>6252</v>
      </c>
      <c r="J89" s="16"/>
      <c r="K89" s="26">
        <f t="shared" ref="K89" si="626">(L89/I89)-1</f>
        <v>7.3256557901471453E-2</v>
      </c>
      <c r="L89" s="15">
        <f t="shared" si="625"/>
        <v>6710</v>
      </c>
      <c r="M89" s="16"/>
      <c r="N89" s="26">
        <f t="shared" ref="N89" si="627">(O89/L89)-1</f>
        <v>0.13502235469448576</v>
      </c>
      <c r="O89" s="15">
        <f t="shared" si="625"/>
        <v>7616</v>
      </c>
      <c r="P89" s="16"/>
      <c r="Q89" s="26">
        <f t="shared" ref="Q89" si="628">(R89/O89)-1</f>
        <v>9.2699579831932777E-2</v>
      </c>
      <c r="R89" s="15">
        <f t="shared" si="625"/>
        <v>8322</v>
      </c>
      <c r="S89" s="16"/>
      <c r="T89" s="26">
        <f t="shared" ref="T89" si="629">(U89/R89)-1</f>
        <v>4.9267003124249031E-2</v>
      </c>
      <c r="U89" s="15">
        <f t="shared" si="625"/>
        <v>8732</v>
      </c>
      <c r="V89" s="16"/>
      <c r="W89" s="26">
        <f t="shared" ref="W89" si="630">(X89/U89)-1</f>
        <v>4.7182775996335247E-2</v>
      </c>
      <c r="X89" s="15">
        <f t="shared" si="625"/>
        <v>9144</v>
      </c>
      <c r="Y89" s="16"/>
      <c r="Z89" s="26">
        <f t="shared" ref="Z89" si="631">(AA89/X89)-1</f>
        <v>4.7134733158355147E-2</v>
      </c>
      <c r="AA89" s="15">
        <f t="shared" si="625"/>
        <v>9575</v>
      </c>
      <c r="AB89" s="16"/>
      <c r="AC89" s="26">
        <f t="shared" ref="AC89" si="632">(AD89/AA89)-1</f>
        <v>4.7310704960835448E-2</v>
      </c>
      <c r="AD89" s="15">
        <f t="shared" si="625"/>
        <v>10028</v>
      </c>
      <c r="AE89" s="16"/>
      <c r="AF89" s="26">
        <f t="shared" si="582"/>
        <v>5.7040287195851525E-2</v>
      </c>
      <c r="AG89" s="15">
        <f t="shared" si="625"/>
        <v>10600</v>
      </c>
      <c r="AH89" s="16"/>
      <c r="AI89" s="26">
        <f t="shared" ref="AI89" si="633">(AJ89/AG89)-1</f>
        <v>6.5188679245282932E-2</v>
      </c>
      <c r="AJ89" s="15">
        <f t="shared" si="625"/>
        <v>11291</v>
      </c>
      <c r="AK89" s="16"/>
      <c r="AL89" s="26">
        <f t="shared" si="584"/>
        <v>2.4887078203879254E-2</v>
      </c>
      <c r="AM89" s="15">
        <f t="shared" ref="AM89" si="634">SUM(AM84:AM88)</f>
        <v>11572</v>
      </c>
      <c r="AN89" s="16"/>
      <c r="AO89" s="26">
        <f t="shared" si="585"/>
        <v>3.508468717594182E-2</v>
      </c>
      <c r="AP89" s="15">
        <f t="shared" ref="AP89" si="635">SUM(AP84:AP88)</f>
        <v>11978</v>
      </c>
      <c r="AQ89" s="16"/>
      <c r="AR89" s="26">
        <f t="shared" si="586"/>
        <v>4.8422107196526953E-2</v>
      </c>
      <c r="AS89" s="15">
        <f t="shared" ref="AS89" si="636">SUM(AS84:AS88)</f>
        <v>12558</v>
      </c>
      <c r="AT89" s="16"/>
      <c r="AU89" s="26">
        <f t="shared" si="587"/>
        <v>1.9827998088867593E-2</v>
      </c>
      <c r="AV89" s="15">
        <f t="shared" ref="AV89" si="637">SUM(AV84:AV88)</f>
        <v>12807</v>
      </c>
      <c r="AW89" s="16"/>
      <c r="AX89" s="26">
        <f t="shared" si="588"/>
        <v>5.8015147965956082E-2</v>
      </c>
      <c r="AY89" s="15">
        <f t="shared" ref="AY89" si="638">SUM(AY84:AY88)</f>
        <v>13550</v>
      </c>
      <c r="AZ89" s="16"/>
      <c r="BA89" s="26">
        <f t="shared" si="589"/>
        <v>4.848708487084874E-2</v>
      </c>
      <c r="BB89" s="15">
        <f t="shared" ref="BB89" si="639">SUM(BB84:BB88)</f>
        <v>14207</v>
      </c>
      <c r="BC89" s="16"/>
      <c r="BD89" s="26">
        <f t="shared" si="590"/>
        <v>1.2529034982754927E-2</v>
      </c>
      <c r="BE89" s="15">
        <f t="shared" ref="BE89" si="640">SUM(BE84:BE88)</f>
        <v>14385</v>
      </c>
      <c r="BF89" s="20"/>
      <c r="BG89" s="16"/>
      <c r="BH89" s="26">
        <f t="shared" si="591"/>
        <v>1.2026416405978457E-2</v>
      </c>
      <c r="BI89" s="15">
        <f t="shared" ref="BI89" si="641">SUM(BI84:BI88)</f>
        <v>14558</v>
      </c>
      <c r="BK89" s="16"/>
      <c r="BL89" s="26">
        <f t="shared" si="592"/>
        <v>0</v>
      </c>
      <c r="BM89" s="15">
        <f t="shared" ref="BM89" si="642">SUM(BM84:BM88)</f>
        <v>14558</v>
      </c>
      <c r="BO89" s="19"/>
    </row>
    <row r="90" spans="1:70" x14ac:dyDescent="0.15">
      <c r="A90" s="2" t="s">
        <v>19</v>
      </c>
      <c r="C90" s="3">
        <v>3214</v>
      </c>
      <c r="E90" s="26">
        <f t="shared" si="573"/>
        <v>3.6714374611076517E-2</v>
      </c>
      <c r="F90" s="3">
        <v>3332</v>
      </c>
      <c r="H90" s="26">
        <f t="shared" si="574"/>
        <v>4.021608643457375E-2</v>
      </c>
      <c r="I90" s="3">
        <v>3466</v>
      </c>
      <c r="K90" s="26">
        <f t="shared" ref="K90" si="643">(L90/I90)-1</f>
        <v>4.0392383150605893E-2</v>
      </c>
      <c r="L90" s="3">
        <v>3606</v>
      </c>
      <c r="N90" s="26">
        <f t="shared" ref="N90" si="644">(O90/L90)-1</f>
        <v>4.991680532445919E-2</v>
      </c>
      <c r="O90" s="3">
        <v>3786</v>
      </c>
      <c r="Q90" s="26">
        <f t="shared" ref="Q90" si="645">(R90/O90)-1</f>
        <v>4.8071843634442724E-2</v>
      </c>
      <c r="R90" s="3">
        <v>3968</v>
      </c>
      <c r="T90" s="26">
        <f t="shared" ref="T90" si="646">(U90/R90)-1</f>
        <v>5.9979838709677491E-2</v>
      </c>
      <c r="U90" s="3">
        <v>4206</v>
      </c>
      <c r="W90" s="26">
        <f t="shared" ref="W90" si="647">(X90/U90)-1</f>
        <v>5.7536852116024662E-2</v>
      </c>
      <c r="X90" s="3">
        <v>4448</v>
      </c>
      <c r="Z90" s="26">
        <f t="shared" ref="Z90" si="648">(AA90/X90)-1</f>
        <v>5.755395683453246E-2</v>
      </c>
      <c r="AA90" s="3">
        <v>4704</v>
      </c>
      <c r="AC90" s="26">
        <f t="shared" ref="AC90" si="649">(AD90/AA90)-1</f>
        <v>5.7823129251700633E-2</v>
      </c>
      <c r="AD90" s="3">
        <v>4976</v>
      </c>
      <c r="AF90" s="26">
        <f t="shared" si="582"/>
        <v>5.7877813504823239E-2</v>
      </c>
      <c r="AG90" s="3">
        <v>5264</v>
      </c>
      <c r="AI90" s="26">
        <f t="shared" ref="AI90" si="650">(AJ90/AG90)-1</f>
        <v>5.0151975683890626E-2</v>
      </c>
      <c r="AJ90" s="3">
        <v>5528</v>
      </c>
      <c r="AL90" s="26">
        <f t="shared" si="584"/>
        <v>2.4963820549927629E-2</v>
      </c>
      <c r="AM90" s="3">
        <v>5666</v>
      </c>
      <c r="AO90" s="26">
        <f t="shared" si="585"/>
        <v>2.4708789269325848E-2</v>
      </c>
      <c r="AP90" s="3">
        <v>5806</v>
      </c>
      <c r="AR90" s="26">
        <f t="shared" si="586"/>
        <v>4.4781260764726216E-2</v>
      </c>
      <c r="AS90" s="3">
        <v>6066</v>
      </c>
      <c r="AU90" s="26">
        <f t="shared" si="587"/>
        <v>3.4948895483020159E-2</v>
      </c>
      <c r="AV90" s="3">
        <v>6278</v>
      </c>
      <c r="AX90" s="26">
        <f t="shared" si="588"/>
        <v>2.007008601465432E-2</v>
      </c>
      <c r="AY90" s="3">
        <f>$AY$18</f>
        <v>6404</v>
      </c>
      <c r="BA90" s="26">
        <f t="shared" si="589"/>
        <v>2.9356652092442204E-2</v>
      </c>
      <c r="BB90" s="3">
        <v>6592</v>
      </c>
      <c r="BD90" s="26">
        <f t="shared" si="590"/>
        <v>2.7912621359223344E-2</v>
      </c>
      <c r="BE90" s="3">
        <v>6776</v>
      </c>
      <c r="BH90" s="26">
        <f t="shared" si="591"/>
        <v>2.7302243211334121E-2</v>
      </c>
      <c r="BI90" s="3">
        <v>6961</v>
      </c>
      <c r="BL90" s="26">
        <f t="shared" si="592"/>
        <v>0</v>
      </c>
      <c r="BM90" s="3">
        <v>6961</v>
      </c>
    </row>
    <row r="91" spans="1:70" x14ac:dyDescent="0.15">
      <c r="A91" s="2" t="s">
        <v>18</v>
      </c>
      <c r="C91" s="3">
        <v>2408</v>
      </c>
      <c r="E91" s="26">
        <f t="shared" si="573"/>
        <v>2.1594684385382035E-2</v>
      </c>
      <c r="F91" s="3">
        <v>2460</v>
      </c>
      <c r="H91" s="26">
        <f t="shared" si="574"/>
        <v>2.9268292682926855E-2</v>
      </c>
      <c r="I91" s="3">
        <v>2532</v>
      </c>
      <c r="K91" s="26">
        <f t="shared" ref="K91" si="651">(L91/I91)-1</f>
        <v>4.2654028436019065E-2</v>
      </c>
      <c r="L91" s="3">
        <v>2640</v>
      </c>
      <c r="N91" s="26">
        <f t="shared" ref="N91" si="652">(O91/L91)-1</f>
        <v>9.0151515151515094E-2</v>
      </c>
      <c r="O91" s="3">
        <v>2878</v>
      </c>
      <c r="Q91" s="26">
        <f t="shared" ref="Q91" si="653">(R91/O91)-1</f>
        <v>5.0729673384294571E-2</v>
      </c>
      <c r="R91" s="3">
        <v>3024</v>
      </c>
      <c r="T91" s="26">
        <f t="shared" ref="T91" si="654">(U91/R91)-1</f>
        <v>6.0185185185185119E-2</v>
      </c>
      <c r="U91" s="3">
        <v>3206</v>
      </c>
      <c r="W91" s="26">
        <f t="shared" ref="W91" si="655">(X91/U91)-1</f>
        <v>5.9887710542732453E-2</v>
      </c>
      <c r="X91" s="3">
        <v>3398</v>
      </c>
      <c r="Z91" s="26">
        <f t="shared" ref="Z91" si="656">(AA91/X91)-1</f>
        <v>0</v>
      </c>
      <c r="AA91" s="3">
        <v>3398</v>
      </c>
      <c r="AC91" s="26">
        <f t="shared" ref="AC91" si="657">(AD91/AA91)-1</f>
        <v>5.885815185403187E-2</v>
      </c>
      <c r="AD91" s="3">
        <v>3598</v>
      </c>
      <c r="AF91" s="26">
        <f t="shared" si="582"/>
        <v>6.0033351862145645E-2</v>
      </c>
      <c r="AG91" s="3">
        <v>3814</v>
      </c>
      <c r="AI91" s="26">
        <f t="shared" ref="AI91" si="658">(AJ91/AG91)-1</f>
        <v>4.9816465652857911E-2</v>
      </c>
      <c r="AJ91" s="3">
        <v>4004</v>
      </c>
      <c r="AL91" s="26">
        <f t="shared" si="584"/>
        <v>2.4975024975024906E-2</v>
      </c>
      <c r="AM91" s="3">
        <v>4104</v>
      </c>
      <c r="AO91" s="26">
        <f t="shared" si="585"/>
        <v>2.4853801169590684E-2</v>
      </c>
      <c r="AP91" s="3">
        <v>4206</v>
      </c>
      <c r="AR91" s="26">
        <f t="shared" si="586"/>
        <v>4.5173561578697008E-2</v>
      </c>
      <c r="AS91" s="3">
        <v>4396</v>
      </c>
      <c r="AU91" s="26">
        <f t="shared" si="587"/>
        <v>3.5031847133758065E-2</v>
      </c>
      <c r="AV91" s="3">
        <v>4550</v>
      </c>
      <c r="AX91" s="26">
        <f t="shared" si="588"/>
        <v>2.9890109890109873E-2</v>
      </c>
      <c r="AY91" s="3">
        <f>$AY$19</f>
        <v>4686</v>
      </c>
      <c r="BA91" s="26">
        <f t="shared" si="589"/>
        <v>2.9876227059325577E-2</v>
      </c>
      <c r="BB91" s="3">
        <v>4826</v>
      </c>
      <c r="BD91" s="26">
        <f t="shared" si="590"/>
        <v>3.5225859925404057E-2</v>
      </c>
      <c r="BE91" s="3">
        <v>4996</v>
      </c>
      <c r="BH91" s="26">
        <f t="shared" si="591"/>
        <v>3.5228182546036768E-2</v>
      </c>
      <c r="BI91" s="3">
        <v>5172</v>
      </c>
      <c r="BL91" s="26">
        <f t="shared" si="592"/>
        <v>0</v>
      </c>
      <c r="BM91" s="3">
        <v>5172</v>
      </c>
    </row>
    <row r="92" spans="1:70" x14ac:dyDescent="0.15">
      <c r="A92" s="2" t="s">
        <v>20</v>
      </c>
      <c r="C92" s="3">
        <v>30</v>
      </c>
      <c r="E92" s="26">
        <f t="shared" si="573"/>
        <v>6.6666666666666652E-2</v>
      </c>
      <c r="F92" s="3">
        <v>32</v>
      </c>
      <c r="H92" s="26">
        <f t="shared" si="574"/>
        <v>6.25E-2</v>
      </c>
      <c r="I92" s="3">
        <v>34</v>
      </c>
      <c r="K92" s="26">
        <f t="shared" ref="K92" si="659">(L92/I92)-1</f>
        <v>0</v>
      </c>
      <c r="L92" s="3">
        <v>34</v>
      </c>
      <c r="N92" s="26">
        <f t="shared" ref="N92" si="660">(O92/L92)-1</f>
        <v>0.17647058823529416</v>
      </c>
      <c r="O92" s="3">
        <v>40</v>
      </c>
      <c r="Q92" s="26">
        <f t="shared" ref="Q92" si="661">(R92/O92)-1</f>
        <v>0.10000000000000009</v>
      </c>
      <c r="R92" s="3">
        <v>44</v>
      </c>
      <c r="T92" s="26">
        <f t="shared" ref="T92" si="662">(U92/R92)-1</f>
        <v>0</v>
      </c>
      <c r="U92" s="3">
        <v>44</v>
      </c>
      <c r="W92" s="26">
        <f t="shared" ref="W92" si="663">(X92/U92)-1</f>
        <v>0</v>
      </c>
      <c r="X92" s="3">
        <v>44</v>
      </c>
      <c r="Z92" s="26">
        <f t="shared" ref="Z92" si="664">(AA92/X92)-1</f>
        <v>0</v>
      </c>
      <c r="AA92" s="3">
        <v>44</v>
      </c>
      <c r="AC92" s="26">
        <f t="shared" ref="AC92" si="665">(AD92/AA92)-1</f>
        <v>0</v>
      </c>
      <c r="AD92" s="3">
        <v>44</v>
      </c>
      <c r="AF92" s="26">
        <f t="shared" si="582"/>
        <v>0</v>
      </c>
      <c r="AG92" s="3">
        <v>44</v>
      </c>
      <c r="AI92" s="26">
        <f t="shared" ref="AI92" si="666">(AJ92/AG92)-1</f>
        <v>0</v>
      </c>
      <c r="AJ92" s="3">
        <v>44</v>
      </c>
      <c r="AL92" s="26">
        <f t="shared" si="584"/>
        <v>0</v>
      </c>
      <c r="AM92" s="3">
        <v>44</v>
      </c>
      <c r="AO92" s="26">
        <f t="shared" si="585"/>
        <v>0</v>
      </c>
      <c r="AP92" s="3">
        <v>44</v>
      </c>
      <c r="AR92" s="26">
        <f t="shared" si="586"/>
        <v>0</v>
      </c>
      <c r="AS92" s="3">
        <v>44</v>
      </c>
      <c r="AU92" s="26">
        <f t="shared" si="587"/>
        <v>0</v>
      </c>
      <c r="AV92" s="3">
        <v>44</v>
      </c>
      <c r="AX92" s="26">
        <f t="shared" si="588"/>
        <v>0</v>
      </c>
      <c r="AY92" s="3">
        <f>$AY$20</f>
        <v>44</v>
      </c>
      <c r="BA92" s="26">
        <f t="shared" si="589"/>
        <v>0</v>
      </c>
      <c r="BB92" s="3">
        <v>44</v>
      </c>
      <c r="BD92" s="26">
        <f t="shared" si="590"/>
        <v>0</v>
      </c>
      <c r="BE92" s="3">
        <v>44</v>
      </c>
      <c r="BH92" s="26">
        <f t="shared" si="591"/>
        <v>0</v>
      </c>
      <c r="BI92" s="3">
        <v>44</v>
      </c>
      <c r="BL92" s="26">
        <f t="shared" si="592"/>
        <v>0</v>
      </c>
      <c r="BM92" s="3">
        <v>44</v>
      </c>
    </row>
    <row r="93" spans="1:70" ht="14" thickBot="1" x14ac:dyDescent="0.2">
      <c r="A93" s="2" t="s">
        <v>21</v>
      </c>
      <c r="C93" s="22">
        <f>SUM(C89:C92)</f>
        <v>11176</v>
      </c>
      <c r="D93" s="16"/>
      <c r="E93" s="26">
        <f t="shared" si="573"/>
        <v>3.9280601288475214E-2</v>
      </c>
      <c r="F93" s="22">
        <f t="shared" ref="F93:AJ93" si="667">SUM(F89:F92)</f>
        <v>11615</v>
      </c>
      <c r="G93" s="16"/>
      <c r="H93" s="26">
        <f t="shared" si="574"/>
        <v>5.7597933706414084E-2</v>
      </c>
      <c r="I93" s="22">
        <f t="shared" si="667"/>
        <v>12284</v>
      </c>
      <c r="J93" s="16"/>
      <c r="K93" s="26">
        <f t="shared" ref="K93" si="668">(L93/I93)-1</f>
        <v>5.7473135786388907E-2</v>
      </c>
      <c r="L93" s="22">
        <f t="shared" si="667"/>
        <v>12990</v>
      </c>
      <c r="M93" s="16"/>
      <c r="N93" s="26">
        <f t="shared" ref="N93" si="669">(O93/L93)-1</f>
        <v>0.10238645111624334</v>
      </c>
      <c r="O93" s="22">
        <f t="shared" si="667"/>
        <v>14320</v>
      </c>
      <c r="P93" s="16"/>
      <c r="Q93" s="26">
        <f t="shared" ref="Q93" si="670">(R93/O93)-1</f>
        <v>7.2486033519553184E-2</v>
      </c>
      <c r="R93" s="22">
        <f t="shared" si="667"/>
        <v>15358</v>
      </c>
      <c r="S93" s="16"/>
      <c r="T93" s="26">
        <f t="shared" ref="T93" si="671">(U93/R93)-1</f>
        <v>5.4043495246776985E-2</v>
      </c>
      <c r="U93" s="22">
        <f t="shared" si="667"/>
        <v>16188</v>
      </c>
      <c r="V93" s="16"/>
      <c r="W93" s="26">
        <f t="shared" ref="W93" si="672">(X93/U93)-1</f>
        <v>5.226093402520382E-2</v>
      </c>
      <c r="X93" s="22">
        <f t="shared" si="667"/>
        <v>17034</v>
      </c>
      <c r="Y93" s="16"/>
      <c r="Z93" s="26">
        <f t="shared" ref="Z93" si="673">(AA93/X93)-1</f>
        <v>4.0331102500880567E-2</v>
      </c>
      <c r="AA93" s="22">
        <f t="shared" si="667"/>
        <v>17721</v>
      </c>
      <c r="AB93" s="16"/>
      <c r="AC93" s="26">
        <f t="shared" ref="AC93" si="674">(AD93/AA93)-1</f>
        <v>5.2197957225890157E-2</v>
      </c>
      <c r="AD93" s="22">
        <f t="shared" si="667"/>
        <v>18646</v>
      </c>
      <c r="AE93" s="16"/>
      <c r="AF93" s="26">
        <f t="shared" si="582"/>
        <v>5.7706746755336269E-2</v>
      </c>
      <c r="AG93" s="22">
        <f t="shared" si="667"/>
        <v>19722</v>
      </c>
      <c r="AH93" s="16"/>
      <c r="AI93" s="26">
        <f t="shared" ref="AI93" si="675">(AJ93/AG93)-1</f>
        <v>5.8056992191461321E-2</v>
      </c>
      <c r="AJ93" s="22">
        <f t="shared" si="667"/>
        <v>20867</v>
      </c>
      <c r="AK93" s="16"/>
      <c r="AL93" s="26">
        <f t="shared" si="584"/>
        <v>2.487180715963011E-2</v>
      </c>
      <c r="AM93" s="22">
        <f t="shared" ref="AM93" si="676">SUM(AM89:AM92)</f>
        <v>21386</v>
      </c>
      <c r="AN93" s="16"/>
      <c r="AO93" s="26">
        <f t="shared" si="585"/>
        <v>3.0300196390161682E-2</v>
      </c>
      <c r="AP93" s="22">
        <f t="shared" ref="AP93" si="677">SUM(AP89:AP92)</f>
        <v>22034</v>
      </c>
      <c r="AQ93" s="16"/>
      <c r="AR93" s="26">
        <f t="shared" si="586"/>
        <v>4.6745938095670292E-2</v>
      </c>
      <c r="AS93" s="22">
        <f t="shared" ref="AS93" si="678">SUM(AS89:AS92)</f>
        <v>23064</v>
      </c>
      <c r="AT93" s="16"/>
      <c r="AU93" s="26">
        <f t="shared" si="587"/>
        <v>2.6664932362122862E-2</v>
      </c>
      <c r="AV93" s="22">
        <f t="shared" ref="AV93" si="679">SUM(AV89:AV92)</f>
        <v>23679</v>
      </c>
      <c r="AW93" s="16"/>
      <c r="AX93" s="26">
        <f t="shared" si="588"/>
        <v>4.2442670720892028E-2</v>
      </c>
      <c r="AY93" s="22">
        <f t="shared" ref="AY93" si="680">SUM(AY89:AY92)</f>
        <v>24684</v>
      </c>
      <c r="AZ93" s="16"/>
      <c r="BA93" s="26">
        <f t="shared" si="589"/>
        <v>3.9904391508669645E-2</v>
      </c>
      <c r="BB93" s="22">
        <f t="shared" ref="BB93" si="681">SUM(BB89:BB92)</f>
        <v>25669</v>
      </c>
      <c r="BC93" s="16"/>
      <c r="BD93" s="26">
        <f t="shared" si="590"/>
        <v>2.0725388601036343E-2</v>
      </c>
      <c r="BE93" s="22">
        <f t="shared" ref="BE93" si="682">SUM(BE89:BE92)</f>
        <v>26201</v>
      </c>
      <c r="BF93" s="20"/>
      <c r="BG93" s="16"/>
      <c r="BH93" s="26">
        <f t="shared" si="591"/>
        <v>2.0380901492309533E-2</v>
      </c>
      <c r="BI93" s="22">
        <f t="shared" ref="BI93" si="683">SUM(BI89:BI92)</f>
        <v>26735</v>
      </c>
      <c r="BK93" s="16"/>
      <c r="BL93" s="26">
        <f t="shared" si="592"/>
        <v>0</v>
      </c>
      <c r="BM93" s="22">
        <f t="shared" ref="BM93" si="684">SUM(BM89:BM92)</f>
        <v>26735</v>
      </c>
      <c r="BO93" s="19"/>
      <c r="BP93" s="22">
        <f>SUM(BP84:BP92)</f>
        <v>12994</v>
      </c>
      <c r="BQ93" s="22">
        <f>SUM(BQ84:BQ92)</f>
        <v>13140</v>
      </c>
      <c r="BR93" s="22">
        <f>SUM(BR84:BR92)</f>
        <v>-430</v>
      </c>
    </row>
    <row r="94" spans="1:70" ht="14" thickTop="1" x14ac:dyDescent="0.15"/>
    <row r="97" spans="1:70" x14ac:dyDescent="0.15">
      <c r="A97" s="25" t="s">
        <v>39</v>
      </c>
    </row>
    <row r="98" spans="1:70" s="24" customFormat="1" x14ac:dyDescent="0.15">
      <c r="A98" s="24" t="s">
        <v>59</v>
      </c>
      <c r="C98" s="13">
        <v>240</v>
      </c>
      <c r="D98" s="13"/>
      <c r="E98" s="26">
        <f>(F98/C98)-1</f>
        <v>7.0833333333333304E-2</v>
      </c>
      <c r="F98" s="13">
        <v>257</v>
      </c>
      <c r="G98" s="13"/>
      <c r="H98" s="26">
        <f>(I98/F98)-1</f>
        <v>9.7276264591439787E-2</v>
      </c>
      <c r="I98" s="13">
        <v>282</v>
      </c>
      <c r="J98" s="13"/>
      <c r="K98" s="26">
        <f>(L98/I98)-1</f>
        <v>0.33333333333333326</v>
      </c>
      <c r="L98" s="13">
        <v>376</v>
      </c>
      <c r="M98" s="13"/>
      <c r="N98" s="26">
        <f>(O98/L98)-1</f>
        <v>0.11170212765957444</v>
      </c>
      <c r="O98" s="13">
        <v>418</v>
      </c>
      <c r="P98" s="13"/>
      <c r="Q98" s="26">
        <f>(R98/O98)-1</f>
        <v>0.2153110047846889</v>
      </c>
      <c r="R98" s="13">
        <v>508</v>
      </c>
      <c r="S98" s="13"/>
      <c r="T98" s="26">
        <f>(U98/R98)-1</f>
        <v>0.10433070866141736</v>
      </c>
      <c r="U98" s="3">
        <v>561</v>
      </c>
      <c r="V98" s="13"/>
      <c r="W98" s="26">
        <f>(X98/U98)-1</f>
        <v>0.11408199643493755</v>
      </c>
      <c r="X98" s="3">
        <v>625</v>
      </c>
      <c r="Y98" s="13"/>
      <c r="Z98" s="26">
        <f>(AA98/X98)-1</f>
        <v>0.14880000000000004</v>
      </c>
      <c r="AA98" s="3">
        <v>718</v>
      </c>
      <c r="AB98" s="13"/>
      <c r="AC98" s="26">
        <f>(AD98/AA98)-1</f>
        <v>0.15041782729805009</v>
      </c>
      <c r="AD98" s="3">
        <v>826</v>
      </c>
      <c r="AE98" s="13"/>
      <c r="AF98" s="26">
        <f>(AG98/AD98)-1</f>
        <v>0.14527845036319609</v>
      </c>
      <c r="AG98" s="3">
        <v>946</v>
      </c>
      <c r="AH98" s="13"/>
      <c r="AI98" s="26">
        <f>(AJ98/AG98)-1</f>
        <v>4.9682875264270621E-2</v>
      </c>
      <c r="AJ98" s="3">
        <v>993</v>
      </c>
      <c r="AK98" s="13"/>
      <c r="AL98" s="26">
        <f>(AM98/AJ98)-1</f>
        <v>9.4662638469285021E-2</v>
      </c>
      <c r="AM98" s="3">
        <v>1087</v>
      </c>
      <c r="AN98" s="13"/>
      <c r="AO98" s="26">
        <f>(AP98/AM98)-1</f>
        <v>0.24931002759889598</v>
      </c>
      <c r="AP98" s="13">
        <v>1358</v>
      </c>
      <c r="AQ98" s="13"/>
      <c r="AR98" s="32">
        <f>(AS98/AP98)-1</f>
        <v>1.9145802650957222E-2</v>
      </c>
      <c r="AS98" s="13">
        <v>1384</v>
      </c>
      <c r="AT98" s="13"/>
      <c r="AU98" s="32">
        <f>(AV98/AS98)-1</f>
        <v>6.7919075144508678E-2</v>
      </c>
      <c r="AV98" s="13">
        <v>1478</v>
      </c>
      <c r="AW98" s="13"/>
      <c r="AX98" s="32">
        <f>(AY98/AV98)-1</f>
        <v>0.34167794316644118</v>
      </c>
      <c r="AY98" s="13">
        <v>1983</v>
      </c>
      <c r="AZ98" s="13"/>
      <c r="BA98" s="32">
        <f>(BB98/AY98)-1</f>
        <v>0.4891578416540594</v>
      </c>
      <c r="BB98" s="13">
        <v>2953</v>
      </c>
      <c r="BC98" s="13"/>
      <c r="BD98" s="32"/>
      <c r="BE98" s="13">
        <v>0</v>
      </c>
      <c r="BF98" s="23"/>
      <c r="BG98" s="13"/>
      <c r="BH98" s="32"/>
      <c r="BI98" s="13">
        <v>0</v>
      </c>
      <c r="BK98" s="13"/>
      <c r="BL98" s="32"/>
      <c r="BM98" s="13">
        <v>0</v>
      </c>
      <c r="BO98" s="5"/>
    </row>
    <row r="99" spans="1:70" x14ac:dyDescent="0.15">
      <c r="A99" s="2" t="s">
        <v>60</v>
      </c>
      <c r="BD99" s="32"/>
      <c r="BE99" s="13"/>
      <c r="BF99" s="23"/>
      <c r="BG99" s="13"/>
      <c r="BH99" s="32"/>
      <c r="BI99" s="13"/>
      <c r="BJ99" s="24"/>
      <c r="BK99" s="13"/>
      <c r="BL99" s="32"/>
      <c r="BM99" s="13"/>
      <c r="BN99" s="24"/>
      <c r="BP99" s="24"/>
      <c r="BQ99" s="24"/>
      <c r="BR99" s="24"/>
    </row>
    <row r="100" spans="1:70" x14ac:dyDescent="0.15">
      <c r="BD100" s="32"/>
      <c r="BE100" s="13"/>
      <c r="BF100" s="23"/>
      <c r="BG100" s="13"/>
      <c r="BH100" s="32"/>
      <c r="BI100" s="13"/>
      <c r="BJ100" s="24"/>
      <c r="BK100" s="13"/>
      <c r="BL100" s="32"/>
      <c r="BM100" s="13"/>
      <c r="BN100" s="24"/>
      <c r="BO100" s="13"/>
      <c r="BP100" s="24"/>
      <c r="BQ100" s="24"/>
      <c r="BR100" s="24"/>
    </row>
    <row r="101" spans="1:70" x14ac:dyDescent="0.15">
      <c r="BD101" s="32"/>
      <c r="BE101" s="13"/>
      <c r="BF101" s="23"/>
      <c r="BG101" s="13"/>
      <c r="BH101" s="32"/>
      <c r="BI101" s="13"/>
      <c r="BJ101" s="24"/>
      <c r="BK101" s="13"/>
      <c r="BL101" s="32"/>
      <c r="BM101" s="13"/>
      <c r="BN101" s="24"/>
      <c r="BO101" s="13"/>
      <c r="BP101" s="24"/>
      <c r="BQ101" s="24"/>
      <c r="BR101" s="24"/>
    </row>
    <row r="102" spans="1:70" x14ac:dyDescent="0.15">
      <c r="A102" s="2" t="s">
        <v>63</v>
      </c>
      <c r="BD102" s="32"/>
      <c r="BE102" s="13"/>
      <c r="BF102" s="23"/>
      <c r="BG102" s="13"/>
      <c r="BH102" s="32"/>
      <c r="BI102" s="13"/>
      <c r="BJ102" s="24"/>
      <c r="BK102" s="13"/>
      <c r="BL102" s="32"/>
      <c r="BM102" s="13"/>
      <c r="BN102" s="24"/>
      <c r="BO102" s="13"/>
      <c r="BP102" s="24"/>
      <c r="BQ102" s="24"/>
      <c r="BR102" s="24"/>
    </row>
    <row r="103" spans="1:70" x14ac:dyDescent="0.15">
      <c r="A103" s="2" t="s">
        <v>66</v>
      </c>
      <c r="BD103" s="32"/>
      <c r="BE103" s="13"/>
      <c r="BF103" s="23"/>
      <c r="BG103" s="13"/>
      <c r="BH103" s="32"/>
      <c r="BI103" s="13"/>
      <c r="BJ103" s="24"/>
      <c r="BK103" s="13"/>
      <c r="BL103" s="32"/>
      <c r="BM103" s="13"/>
      <c r="BN103" s="24"/>
      <c r="BO103" s="13"/>
      <c r="BP103" s="24"/>
      <c r="BQ103" s="24"/>
      <c r="BR103" s="24"/>
    </row>
    <row r="104" spans="1:70" x14ac:dyDescent="0.15">
      <c r="A104" s="2" t="s">
        <v>68</v>
      </c>
      <c r="BD104" s="32"/>
      <c r="BE104" s="13"/>
      <c r="BF104" s="23"/>
      <c r="BG104" s="13"/>
      <c r="BH104" s="32"/>
      <c r="BI104" s="13"/>
      <c r="BJ104" s="24"/>
      <c r="BK104" s="13"/>
      <c r="BL104" s="32"/>
      <c r="BM104" s="13"/>
      <c r="BN104" s="24"/>
      <c r="BO104" s="13"/>
      <c r="BP104" s="24"/>
      <c r="BQ104" s="24"/>
      <c r="BR104" s="24"/>
    </row>
    <row r="105" spans="1:70" x14ac:dyDescent="0.15">
      <c r="BD105" s="32"/>
      <c r="BE105" s="13"/>
      <c r="BF105" s="23"/>
      <c r="BG105" s="13"/>
      <c r="BH105" s="32"/>
      <c r="BI105" s="13"/>
      <c r="BJ105" s="24"/>
      <c r="BK105" s="13"/>
      <c r="BL105" s="32"/>
      <c r="BM105" s="13"/>
      <c r="BN105" s="24"/>
      <c r="BO105" s="13"/>
      <c r="BP105" s="24"/>
      <c r="BQ105" s="24"/>
      <c r="BR105" s="24"/>
    </row>
    <row r="106" spans="1:70" x14ac:dyDescent="0.15">
      <c r="BD106" s="32"/>
      <c r="BE106" s="13"/>
      <c r="BF106" s="23"/>
      <c r="BG106" s="13"/>
      <c r="BH106" s="32"/>
      <c r="BI106" s="13"/>
      <c r="BJ106" s="24"/>
      <c r="BK106" s="13"/>
      <c r="BL106" s="32"/>
      <c r="BM106" s="13"/>
      <c r="BN106" s="24"/>
      <c r="BO106" s="13"/>
      <c r="BP106" s="24"/>
      <c r="BQ106" s="24"/>
      <c r="BR106" s="24"/>
    </row>
    <row r="107" spans="1:70" x14ac:dyDescent="0.15">
      <c r="A107" s="2" t="s">
        <v>65</v>
      </c>
      <c r="BO107" s="13"/>
    </row>
    <row r="108" spans="1:70" x14ac:dyDescent="0.15">
      <c r="A108" s="33">
        <v>43201</v>
      </c>
      <c r="BO108" s="13"/>
    </row>
    <row r="109" spans="1:70" x14ac:dyDescent="0.15">
      <c r="BO109" s="13"/>
    </row>
    <row r="110" spans="1:70" x14ac:dyDescent="0.15">
      <c r="BO110" s="13"/>
    </row>
    <row r="111" spans="1:70" x14ac:dyDescent="0.15">
      <c r="BO111" s="13"/>
    </row>
  </sheetData>
  <printOptions horizontalCentered="1"/>
  <pageMargins left="0" right="0" top="0.5" bottom="0" header="0.3" footer="0.3"/>
  <pageSetup scale="85" fitToHeight="3" orientation="portrait" r:id="rId1"/>
  <rowBreaks count="1" manualBreakCount="1">
    <brk id="5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3"/>
  <sheetViews>
    <sheetView workbookViewId="0">
      <selection activeCell="F38" sqref="F38"/>
    </sheetView>
  </sheetViews>
  <sheetFormatPr baseColWidth="10" defaultColWidth="9.1640625" defaultRowHeight="16" x14ac:dyDescent="0.2"/>
  <cols>
    <col min="1" max="1" width="56.6640625" style="34" customWidth="1"/>
    <col min="2" max="2" width="21.1640625" style="34" customWidth="1"/>
    <col min="3" max="4" width="14" style="34" bestFit="1" customWidth="1"/>
    <col min="5" max="7" width="14.33203125" style="34" bestFit="1" customWidth="1"/>
    <col min="8" max="8" width="15.6640625" style="34" bestFit="1" customWidth="1"/>
    <col min="9" max="9" width="14.1640625" style="34" bestFit="1" customWidth="1"/>
    <col min="10" max="10" width="14.5" style="34" bestFit="1" customWidth="1"/>
    <col min="11" max="13" width="15.83203125" style="34" bestFit="1" customWidth="1"/>
    <col min="14" max="16384" width="9.1640625" style="34"/>
  </cols>
  <sheetData>
    <row r="1" spans="1:13" ht="17" thickBot="1" x14ac:dyDescent="0.25">
      <c r="A1" s="102" t="s">
        <v>123</v>
      </c>
    </row>
    <row r="2" spans="1:13" ht="26.25" customHeight="1" x14ac:dyDescent="0.2">
      <c r="A2" s="38" t="s">
        <v>119</v>
      </c>
      <c r="B2" s="104" t="s">
        <v>73</v>
      </c>
      <c r="C2" s="39"/>
      <c r="D2" s="39"/>
      <c r="E2" s="39"/>
      <c r="F2" s="39"/>
      <c r="G2" s="39"/>
      <c r="H2" s="39"/>
      <c r="I2" s="39"/>
      <c r="J2" s="39"/>
      <c r="K2" s="39"/>
      <c r="L2" s="39"/>
      <c r="M2" s="40"/>
    </row>
    <row r="3" spans="1:13" x14ac:dyDescent="0.2">
      <c r="A3" s="41" t="s">
        <v>69</v>
      </c>
      <c r="B3" s="105">
        <v>1</v>
      </c>
      <c r="C3" s="42">
        <v>5</v>
      </c>
      <c r="D3" s="42">
        <v>10</v>
      </c>
      <c r="E3" s="42">
        <v>15</v>
      </c>
      <c r="F3" s="42">
        <v>20</v>
      </c>
      <c r="G3" s="42">
        <v>25</v>
      </c>
      <c r="H3" s="42">
        <v>50</v>
      </c>
      <c r="I3" s="42">
        <v>75</v>
      </c>
      <c r="J3" s="42">
        <v>100</v>
      </c>
      <c r="K3" s="42">
        <v>125</v>
      </c>
      <c r="L3" s="42">
        <v>150</v>
      </c>
      <c r="M3" s="43">
        <v>200</v>
      </c>
    </row>
    <row r="4" spans="1:13" x14ac:dyDescent="0.2">
      <c r="A4" s="41" t="s">
        <v>70</v>
      </c>
      <c r="B4" s="106">
        <f>'FY18 &amp; FY19'!BM17</f>
        <v>11068</v>
      </c>
      <c r="C4" s="45">
        <f t="shared" ref="C4:M4" si="0">$B$4*C3</f>
        <v>55340</v>
      </c>
      <c r="D4" s="45">
        <f t="shared" si="0"/>
        <v>110680</v>
      </c>
      <c r="E4" s="45">
        <f t="shared" si="0"/>
        <v>166020</v>
      </c>
      <c r="F4" s="45">
        <f t="shared" si="0"/>
        <v>221360</v>
      </c>
      <c r="G4" s="45">
        <f t="shared" si="0"/>
        <v>276700</v>
      </c>
      <c r="H4" s="45">
        <f t="shared" si="0"/>
        <v>553400</v>
      </c>
      <c r="I4" s="45">
        <f t="shared" si="0"/>
        <v>830100</v>
      </c>
      <c r="J4" s="45">
        <f t="shared" si="0"/>
        <v>1106800</v>
      </c>
      <c r="K4" s="45">
        <f t="shared" si="0"/>
        <v>1383500</v>
      </c>
      <c r="L4" s="45">
        <f t="shared" si="0"/>
        <v>1660200</v>
      </c>
      <c r="M4" s="46">
        <f t="shared" si="0"/>
        <v>2213600</v>
      </c>
    </row>
    <row r="5" spans="1:13" x14ac:dyDescent="0.2">
      <c r="A5" s="41" t="s">
        <v>71</v>
      </c>
      <c r="B5" s="44">
        <f>'FY18 &amp; FY19'!BR21</f>
        <v>9910</v>
      </c>
      <c r="C5" s="45">
        <f t="shared" ref="C5:M5" si="1">$B$5*C3</f>
        <v>49550</v>
      </c>
      <c r="D5" s="45">
        <f t="shared" si="1"/>
        <v>99100</v>
      </c>
      <c r="E5" s="45">
        <f t="shared" si="1"/>
        <v>148650</v>
      </c>
      <c r="F5" s="45">
        <f t="shared" si="1"/>
        <v>198200</v>
      </c>
      <c r="G5" s="45">
        <f t="shared" si="1"/>
        <v>247750</v>
      </c>
      <c r="H5" s="45">
        <f t="shared" si="1"/>
        <v>495500</v>
      </c>
      <c r="I5" s="45">
        <f t="shared" si="1"/>
        <v>743250</v>
      </c>
      <c r="J5" s="45">
        <f t="shared" si="1"/>
        <v>991000</v>
      </c>
      <c r="K5" s="45">
        <f t="shared" si="1"/>
        <v>1238750</v>
      </c>
      <c r="L5" s="45">
        <f t="shared" si="1"/>
        <v>1486500</v>
      </c>
      <c r="M5" s="46">
        <f t="shared" si="1"/>
        <v>1982000</v>
      </c>
    </row>
    <row r="6" spans="1:13" x14ac:dyDescent="0.2">
      <c r="A6" s="41"/>
      <c r="B6" s="53"/>
      <c r="C6" s="48"/>
      <c r="D6" s="48"/>
      <c r="E6" s="48"/>
      <c r="F6" s="48"/>
      <c r="G6" s="48"/>
      <c r="H6" s="48"/>
      <c r="I6" s="48"/>
      <c r="J6" s="48"/>
      <c r="K6" s="48"/>
      <c r="L6" s="48"/>
      <c r="M6" s="49"/>
    </row>
    <row r="7" spans="1:13" x14ac:dyDescent="0.2">
      <c r="A7" s="41" t="s">
        <v>69</v>
      </c>
      <c r="B7" s="105">
        <v>1</v>
      </c>
      <c r="C7" s="42">
        <v>5</v>
      </c>
      <c r="D7" s="42">
        <v>10</v>
      </c>
      <c r="E7" s="42">
        <v>15</v>
      </c>
      <c r="F7" s="42">
        <v>20</v>
      </c>
      <c r="G7" s="42">
        <v>25</v>
      </c>
      <c r="H7" s="42">
        <v>50</v>
      </c>
      <c r="I7" s="42">
        <v>75</v>
      </c>
      <c r="J7" s="42">
        <v>100</v>
      </c>
      <c r="K7" s="42">
        <v>125</v>
      </c>
      <c r="L7" s="42">
        <v>150</v>
      </c>
      <c r="M7" s="43">
        <v>200</v>
      </c>
    </row>
    <row r="8" spans="1:13" x14ac:dyDescent="0.2">
      <c r="A8" s="41" t="s">
        <v>74</v>
      </c>
      <c r="B8" s="106">
        <f>'FY18 &amp; FY19'!BI65</f>
        <v>11835</v>
      </c>
      <c r="C8" s="45">
        <f t="shared" ref="C8:M8" si="2">$B$8*C7</f>
        <v>59175</v>
      </c>
      <c r="D8" s="45">
        <f t="shared" si="2"/>
        <v>118350</v>
      </c>
      <c r="E8" s="45">
        <f t="shared" si="2"/>
        <v>177525</v>
      </c>
      <c r="F8" s="45">
        <f t="shared" si="2"/>
        <v>236700</v>
      </c>
      <c r="G8" s="45">
        <f t="shared" si="2"/>
        <v>295875</v>
      </c>
      <c r="H8" s="45">
        <f t="shared" si="2"/>
        <v>591750</v>
      </c>
      <c r="I8" s="45">
        <f t="shared" si="2"/>
        <v>887625</v>
      </c>
      <c r="J8" s="45">
        <f t="shared" si="2"/>
        <v>1183500</v>
      </c>
      <c r="K8" s="45">
        <f t="shared" si="2"/>
        <v>1479375</v>
      </c>
      <c r="L8" s="45">
        <f t="shared" si="2"/>
        <v>1775250</v>
      </c>
      <c r="M8" s="46">
        <f t="shared" si="2"/>
        <v>2367000</v>
      </c>
    </row>
    <row r="9" spans="1:13" ht="17" thickBot="1" x14ac:dyDescent="0.25">
      <c r="A9" s="50" t="s">
        <v>72</v>
      </c>
      <c r="B9" s="107">
        <f>'FY18 &amp; FY19'!BQ69</f>
        <v>10417</v>
      </c>
      <c r="C9" s="51">
        <f t="shared" ref="C9:M9" si="3">$B$9*C7</f>
        <v>52085</v>
      </c>
      <c r="D9" s="51">
        <f t="shared" si="3"/>
        <v>104170</v>
      </c>
      <c r="E9" s="51">
        <f t="shared" si="3"/>
        <v>156255</v>
      </c>
      <c r="F9" s="51">
        <f t="shared" si="3"/>
        <v>208340</v>
      </c>
      <c r="G9" s="51">
        <f t="shared" si="3"/>
        <v>260425</v>
      </c>
      <c r="H9" s="51">
        <f t="shared" si="3"/>
        <v>520850</v>
      </c>
      <c r="I9" s="51">
        <f t="shared" si="3"/>
        <v>781275</v>
      </c>
      <c r="J9" s="51">
        <f t="shared" si="3"/>
        <v>1041700</v>
      </c>
      <c r="K9" s="51">
        <f t="shared" si="3"/>
        <v>1302125</v>
      </c>
      <c r="L9" s="51">
        <f t="shared" si="3"/>
        <v>1562550</v>
      </c>
      <c r="M9" s="52">
        <f t="shared" si="3"/>
        <v>2083400</v>
      </c>
    </row>
    <row r="12" spans="1:13" ht="17" thickBot="1" x14ac:dyDescent="0.25">
      <c r="A12" s="34" t="s">
        <v>124</v>
      </c>
    </row>
    <row r="13" spans="1:13" x14ac:dyDescent="0.2">
      <c r="A13" s="108"/>
      <c r="B13" s="109" t="s">
        <v>79</v>
      </c>
      <c r="C13" s="109" t="s">
        <v>80</v>
      </c>
      <c r="D13" s="109" t="s">
        <v>81</v>
      </c>
      <c r="E13" s="110" t="s">
        <v>82</v>
      </c>
      <c r="F13" s="35" t="s">
        <v>83</v>
      </c>
      <c r="G13" s="35" t="s">
        <v>84</v>
      </c>
    </row>
    <row r="14" spans="1:13" ht="17" thickBot="1" x14ac:dyDescent="0.25">
      <c r="A14" s="111" t="s">
        <v>75</v>
      </c>
      <c r="B14" s="112">
        <v>25</v>
      </c>
      <c r="C14" s="112">
        <v>19</v>
      </c>
      <c r="D14" s="112">
        <v>18</v>
      </c>
      <c r="E14" s="113">
        <v>18</v>
      </c>
    </row>
    <row r="15" spans="1:13" x14ac:dyDescent="0.2">
      <c r="A15" s="34" t="s">
        <v>76</v>
      </c>
      <c r="C15" s="34">
        <v>26</v>
      </c>
      <c r="D15" s="34">
        <v>19</v>
      </c>
      <c r="E15" s="34">
        <v>18</v>
      </c>
      <c r="F15" s="34">
        <v>18</v>
      </c>
    </row>
    <row r="16" spans="1:13" x14ac:dyDescent="0.2">
      <c r="A16" s="34" t="s">
        <v>77</v>
      </c>
      <c r="D16" s="34">
        <v>27</v>
      </c>
      <c r="E16" s="34">
        <v>18</v>
      </c>
      <c r="F16" s="34">
        <v>19</v>
      </c>
      <c r="G16" s="34">
        <v>19</v>
      </c>
    </row>
    <row r="17" spans="1:8" x14ac:dyDescent="0.2">
      <c r="A17" s="34" t="s">
        <v>78</v>
      </c>
      <c r="E17" s="34">
        <v>30</v>
      </c>
      <c r="F17" s="34">
        <v>21</v>
      </c>
      <c r="G17" s="34">
        <v>19</v>
      </c>
    </row>
    <row r="18" spans="1:8" x14ac:dyDescent="0.2">
      <c r="A18" s="34" t="s">
        <v>85</v>
      </c>
      <c r="F18" s="34">
        <v>34</v>
      </c>
      <c r="G18" s="34">
        <v>20</v>
      </c>
    </row>
    <row r="19" spans="1:8" x14ac:dyDescent="0.2">
      <c r="A19" s="34" t="s">
        <v>86</v>
      </c>
      <c r="G19" s="34">
        <v>34</v>
      </c>
    </row>
    <row r="20" spans="1:8" ht="17" thickBot="1" x14ac:dyDescent="0.25">
      <c r="B20" s="36">
        <f>SUM(B14:B19)</f>
        <v>25</v>
      </c>
      <c r="C20" s="36">
        <f t="shared" ref="C20:G20" si="4">SUM(C14:C19)</f>
        <v>45</v>
      </c>
      <c r="D20" s="36">
        <f t="shared" si="4"/>
        <v>64</v>
      </c>
      <c r="E20" s="36">
        <f t="shared" si="4"/>
        <v>84</v>
      </c>
      <c r="F20" s="36">
        <f t="shared" si="4"/>
        <v>92</v>
      </c>
      <c r="G20" s="36">
        <f t="shared" si="4"/>
        <v>92</v>
      </c>
    </row>
    <row r="21" spans="1:8" ht="17" thickTop="1" x14ac:dyDescent="0.2"/>
    <row r="22" spans="1:8" x14ac:dyDescent="0.2">
      <c r="A22" s="34" t="s">
        <v>87</v>
      </c>
      <c r="B22" s="103">
        <f t="shared" ref="B22:G22" si="5">$B$5</f>
        <v>9910</v>
      </c>
      <c r="C22" s="103">
        <f t="shared" si="5"/>
        <v>9910</v>
      </c>
      <c r="D22" s="103">
        <f t="shared" si="5"/>
        <v>9910</v>
      </c>
      <c r="E22" s="103">
        <f t="shared" si="5"/>
        <v>9910</v>
      </c>
      <c r="F22" s="103">
        <f t="shared" si="5"/>
        <v>9910</v>
      </c>
      <c r="G22" s="103">
        <f t="shared" si="5"/>
        <v>9910</v>
      </c>
    </row>
    <row r="24" spans="1:8" x14ac:dyDescent="0.2">
      <c r="A24" s="34" t="s">
        <v>88</v>
      </c>
      <c r="B24" s="37">
        <f t="shared" ref="B24:G24" si="6">B20*B22</f>
        <v>247750</v>
      </c>
      <c r="C24" s="37">
        <f t="shared" si="6"/>
        <v>445950</v>
      </c>
      <c r="D24" s="37">
        <f t="shared" si="6"/>
        <v>634240</v>
      </c>
      <c r="E24" s="37">
        <f t="shared" si="6"/>
        <v>832440</v>
      </c>
      <c r="F24" s="37">
        <f t="shared" si="6"/>
        <v>911720</v>
      </c>
      <c r="G24" s="37">
        <f t="shared" si="6"/>
        <v>911720</v>
      </c>
    </row>
    <row r="27" spans="1:8" x14ac:dyDescent="0.2">
      <c r="B27" s="35" t="s">
        <v>79</v>
      </c>
      <c r="C27" s="35" t="s">
        <v>80</v>
      </c>
      <c r="D27" s="35" t="s">
        <v>81</v>
      </c>
      <c r="E27" s="35" t="s">
        <v>82</v>
      </c>
      <c r="F27" s="35" t="s">
        <v>83</v>
      </c>
      <c r="G27" s="35" t="s">
        <v>84</v>
      </c>
      <c r="H27" s="34" t="s">
        <v>115</v>
      </c>
    </row>
    <row r="28" spans="1:8" x14ac:dyDescent="0.2">
      <c r="A28" s="34" t="s">
        <v>75</v>
      </c>
      <c r="B28" s="37">
        <f>B14*$B$22</f>
        <v>247750</v>
      </c>
      <c r="C28" s="37">
        <f t="shared" ref="C28:E28" si="7">C14*$B$22</f>
        <v>188290</v>
      </c>
      <c r="D28" s="37">
        <f t="shared" si="7"/>
        <v>178380</v>
      </c>
      <c r="E28" s="37">
        <f t="shared" si="7"/>
        <v>178380</v>
      </c>
      <c r="H28" s="37">
        <f>SUM(B28:G28)</f>
        <v>792800</v>
      </c>
    </row>
    <row r="29" spans="1:8" x14ac:dyDescent="0.2">
      <c r="A29" s="34" t="s">
        <v>76</v>
      </c>
      <c r="C29" s="37">
        <f>C15*C22</f>
        <v>257660</v>
      </c>
      <c r="D29" s="37">
        <f t="shared" ref="D29:F29" si="8">D15*D22</f>
        <v>188290</v>
      </c>
      <c r="E29" s="37">
        <f t="shared" si="8"/>
        <v>178380</v>
      </c>
      <c r="F29" s="37">
        <f t="shared" si="8"/>
        <v>178380</v>
      </c>
      <c r="H29" s="37">
        <f t="shared" ref="H29:H33" si="9">SUM(B29:G29)</f>
        <v>802710</v>
      </c>
    </row>
    <row r="30" spans="1:8" x14ac:dyDescent="0.2">
      <c r="A30" s="34" t="s">
        <v>77</v>
      </c>
      <c r="D30" s="37">
        <f>D16*D22</f>
        <v>267570</v>
      </c>
      <c r="E30" s="37">
        <f t="shared" ref="E30:G30" si="10">E16*E22</f>
        <v>178380</v>
      </c>
      <c r="F30" s="37">
        <f t="shared" si="10"/>
        <v>188290</v>
      </c>
      <c r="G30" s="37">
        <f t="shared" si="10"/>
        <v>188290</v>
      </c>
      <c r="H30" s="37">
        <f t="shared" si="9"/>
        <v>822530</v>
      </c>
    </row>
    <row r="31" spans="1:8" x14ac:dyDescent="0.2">
      <c r="A31" s="34" t="s">
        <v>78</v>
      </c>
      <c r="E31" s="37">
        <f>E17*E22</f>
        <v>297300</v>
      </c>
      <c r="F31" s="37">
        <f t="shared" ref="F31:G31" si="11">F17*F22</f>
        <v>208110</v>
      </c>
      <c r="G31" s="37">
        <f t="shared" si="11"/>
        <v>188290</v>
      </c>
      <c r="H31" s="37">
        <f t="shared" si="9"/>
        <v>693700</v>
      </c>
    </row>
    <row r="32" spans="1:8" x14ac:dyDescent="0.2">
      <c r="A32" s="34" t="s">
        <v>85</v>
      </c>
      <c r="F32" s="37">
        <f>F18*F22</f>
        <v>336940</v>
      </c>
      <c r="G32" s="37">
        <f>G18*G22</f>
        <v>198200</v>
      </c>
      <c r="H32" s="37">
        <f t="shared" si="9"/>
        <v>535140</v>
      </c>
    </row>
    <row r="33" spans="1:8" x14ac:dyDescent="0.2">
      <c r="A33" s="34" t="s">
        <v>86</v>
      </c>
      <c r="G33" s="37">
        <f>G19*G22</f>
        <v>336940</v>
      </c>
      <c r="H33" s="37">
        <f t="shared" si="9"/>
        <v>336940</v>
      </c>
    </row>
    <row r="34" spans="1:8" ht="17" thickBot="1" x14ac:dyDescent="0.25">
      <c r="B34" s="100">
        <f>SUM(B28:B33)</f>
        <v>247750</v>
      </c>
      <c r="C34" s="100">
        <f t="shared" ref="C34:G34" si="12">SUM(C28:C33)</f>
        <v>445950</v>
      </c>
      <c r="D34" s="100">
        <f t="shared" si="12"/>
        <v>634240</v>
      </c>
      <c r="E34" s="100">
        <f t="shared" si="12"/>
        <v>832440</v>
      </c>
      <c r="F34" s="100">
        <f t="shared" si="12"/>
        <v>911720</v>
      </c>
      <c r="G34" s="100">
        <f t="shared" si="12"/>
        <v>911720</v>
      </c>
      <c r="H34" s="101">
        <f t="shared" ref="H34" si="13">B34+C34+D34+E34</f>
        <v>2160380</v>
      </c>
    </row>
    <row r="35" spans="1:8" ht="17" thickTop="1" x14ac:dyDescent="0.2"/>
    <row r="38" spans="1:8" x14ac:dyDescent="0.2">
      <c r="A38" s="114" t="s">
        <v>120</v>
      </c>
      <c r="B38" s="114"/>
      <c r="C38" s="114"/>
      <c r="D38" s="114"/>
      <c r="E38" s="114"/>
    </row>
    <row r="39" spans="1:8" x14ac:dyDescent="0.2">
      <c r="A39" s="114" t="s">
        <v>116</v>
      </c>
      <c r="B39" s="115">
        <f>B28</f>
        <v>247750</v>
      </c>
      <c r="C39" s="115">
        <f t="shared" ref="C39:E39" si="14">C28</f>
        <v>188290</v>
      </c>
      <c r="D39" s="115">
        <f t="shared" si="14"/>
        <v>178380</v>
      </c>
      <c r="E39" s="115">
        <f t="shared" si="14"/>
        <v>178380</v>
      </c>
    </row>
    <row r="40" spans="1:8" x14ac:dyDescent="0.2">
      <c r="A40" s="114" t="s">
        <v>117</v>
      </c>
      <c r="B40" s="116">
        <f>'Staffing '!C28</f>
        <v>22118.7588</v>
      </c>
      <c r="C40" s="116">
        <f>'Staffing '!F28</f>
        <v>110593.79400000001</v>
      </c>
      <c r="D40" s="116">
        <f>'Staffing '!F28</f>
        <v>110593.79400000001</v>
      </c>
      <c r="E40" s="116">
        <f>'Staffing '!L28</f>
        <v>633740.76080000005</v>
      </c>
    </row>
    <row r="41" spans="1:8" x14ac:dyDescent="0.2">
      <c r="A41" s="114"/>
      <c r="B41" s="114"/>
      <c r="C41" s="114"/>
      <c r="D41" s="114"/>
      <c r="E41" s="114"/>
    </row>
    <row r="42" spans="1:8" ht="17" thickBot="1" x14ac:dyDescent="0.25">
      <c r="A42" s="114" t="s">
        <v>118</v>
      </c>
      <c r="B42" s="117">
        <f>B39-B40</f>
        <v>225631.24119999999</v>
      </c>
      <c r="C42" s="117">
        <f t="shared" ref="C42:E42" si="15">C39-C40</f>
        <v>77696.205999999991</v>
      </c>
      <c r="D42" s="117">
        <f t="shared" si="15"/>
        <v>67786.205999999991</v>
      </c>
      <c r="E42" s="117">
        <f t="shared" si="15"/>
        <v>-455360.76080000005</v>
      </c>
    </row>
    <row r="43" spans="1:8" ht="17" thickTop="1" x14ac:dyDescent="0.2"/>
  </sheetData>
  <pageMargins left="0.7" right="0.7" top="0.75" bottom="0.75" header="0.3" footer="0.3"/>
  <pageSetup paperSize="17" scale="53" orientation="landscape" r:id="rId1"/>
  <headerFooter>
    <oddFooter>&amp;Lprinted &amp;D&amp;T&amp;C&amp;Z&amp;F</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BOR Table</vt:lpstr>
      <vt:lpstr>Enrollment and Revenue</vt:lpstr>
      <vt:lpstr>Staffing </vt:lpstr>
      <vt:lpstr>FY18 &amp; FY19</vt:lpstr>
      <vt:lpstr>ESTIMATED REVENUE - old</vt:lpstr>
      <vt:lpstr>'ESTIMATED REVENUE - old'!Print_Area</vt:lpstr>
      <vt:lpstr>'Staffing '!Print_Area</vt:lpstr>
      <vt:lpstr>'FY18 &amp; FY19'!Print_Titles</vt:lpstr>
    </vt:vector>
  </TitlesOfParts>
  <Company>Central Connecticut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CCSU</dc:creator>
  <cp:lastModifiedBy>Microsoft Office User</cp:lastModifiedBy>
  <cp:lastPrinted>2018-05-04T13:00:19Z</cp:lastPrinted>
  <dcterms:created xsi:type="dcterms:W3CDTF">2010-08-31T15:48:04Z</dcterms:created>
  <dcterms:modified xsi:type="dcterms:W3CDTF">2019-11-12T13:24:28Z</dcterms:modified>
</cp:coreProperties>
</file>